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Ageosvfs10g\保険年金課\01_令和5年度以前\03資格・課税担当\02_賦課\05_試算シート\R8\"/>
    </mc:Choice>
  </mc:AlternateContent>
  <xr:revisionPtr revIDLastSave="0" documentId="13_ncr:1_{805FED9D-B95D-4D52-949C-70235B62698F}" xr6:coauthVersionLast="36" xr6:coauthVersionMax="36" xr10:uidLastSave="{00000000-0000-0000-0000-000000000000}"/>
  <workbookProtection workbookPassword="DAE0" lockStructure="1"/>
  <bookViews>
    <workbookView xWindow="-108" yWindow="-108" windowWidth="23256" windowHeight="12576" xr2:uid="{00000000-000D-0000-FFFF-FFFF00000000}"/>
  </bookViews>
  <sheets>
    <sheet name="計算式あり" sheetId="21" r:id="rId1"/>
    <sheet name="軽減判定" sheetId="45" state="hidden" r:id="rId2"/>
    <sheet name="加入者(1)" sheetId="23" state="hidden" r:id="rId3"/>
    <sheet name="計算シート１" sheetId="24" state="hidden" r:id="rId4"/>
    <sheet name="計算シート２" sheetId="25" state="hidden" r:id="rId5"/>
    <sheet name="加入者(2)" sheetId="26" state="hidden" r:id="rId6"/>
    <sheet name="計算シート12" sheetId="27" state="hidden" r:id="rId7"/>
    <sheet name="計算シート22" sheetId="28" state="hidden" r:id="rId8"/>
    <sheet name="加入者(3)" sheetId="31" state="hidden" r:id="rId9"/>
    <sheet name="計算シート13" sheetId="29" state="hidden" r:id="rId10"/>
    <sheet name="計算シート23" sheetId="30" state="hidden" r:id="rId11"/>
    <sheet name="加入者(4)" sheetId="34" state="hidden" r:id="rId12"/>
    <sheet name="計算シート14" sheetId="33" state="hidden" r:id="rId13"/>
    <sheet name="計算シート24" sheetId="32" state="hidden" r:id="rId14"/>
    <sheet name="加入者(5)" sheetId="35" state="hidden" r:id="rId15"/>
    <sheet name="計算シート15" sheetId="36" state="hidden" r:id="rId16"/>
    <sheet name="計算シート25" sheetId="37" state="hidden" r:id="rId17"/>
    <sheet name="加入者(6)" sheetId="40" state="hidden" r:id="rId18"/>
    <sheet name="計算シート16" sheetId="38" state="hidden" r:id="rId19"/>
    <sheet name="計算シート26" sheetId="39" state="hidden" r:id="rId20"/>
    <sheet name="加入者(7)" sheetId="43" state="hidden" r:id="rId21"/>
    <sheet name="計算シート17" sheetId="41" state="hidden" r:id="rId22"/>
    <sheet name="計算シート27" sheetId="42" state="hidden" r:id="rId23"/>
  </sheets>
  <definedNames>
    <definedName name="_xlnm.Print_Area" localSheetId="3">計算シート１!$A$1:$R$48</definedName>
    <definedName name="_xlnm.Print_Area" localSheetId="6">計算シート12!$A$1:$R$48</definedName>
    <definedName name="_xlnm.Print_Area" localSheetId="9">計算シート13!$A$1:$R$48</definedName>
    <definedName name="_xlnm.Print_Area" localSheetId="12">計算シート14!$A$1:$R$48</definedName>
    <definedName name="_xlnm.Print_Area" localSheetId="15">計算シート15!$A$1:$R$48</definedName>
    <definedName name="_xlnm.Print_Area" localSheetId="18">計算シート16!$A$1:$R$48</definedName>
    <definedName name="_xlnm.Print_Area" localSheetId="21">計算シート17!$A$1:$R$48</definedName>
    <definedName name="_xlnm.Print_Area" localSheetId="0">計算式あり!$A$1:$I$55</definedName>
  </definedNames>
  <calcPr calcId="191029"/>
</workbook>
</file>

<file path=xl/calcChain.xml><?xml version="1.0" encoding="utf-8"?>
<calcChain xmlns="http://schemas.openxmlformats.org/spreadsheetml/2006/main">
  <c r="U49" i="21" l="1"/>
  <c r="S36" i="21" l="1"/>
  <c r="T49" i="21" l="1"/>
  <c r="V49" i="21"/>
  <c r="R4" i="21"/>
  <c r="R3" i="21"/>
  <c r="R2" i="21" l="1"/>
  <c r="K24" i="45" l="1"/>
  <c r="I24" i="45"/>
  <c r="K13" i="45"/>
  <c r="K12" i="45"/>
  <c r="K11" i="45"/>
  <c r="K10" i="45"/>
  <c r="K9" i="45"/>
  <c r="K8" i="45"/>
  <c r="K7" i="45"/>
  <c r="I12" i="45"/>
  <c r="I11" i="45"/>
  <c r="I10" i="45"/>
  <c r="I9" i="45"/>
  <c r="I8" i="45"/>
  <c r="I7" i="45"/>
  <c r="K6" i="45"/>
  <c r="I13" i="45"/>
  <c r="I6" i="45"/>
  <c r="U37" i="21" l="1"/>
  <c r="U38" i="21"/>
  <c r="U39" i="21"/>
  <c r="U40" i="21"/>
  <c r="U41" i="21"/>
  <c r="U42" i="21"/>
  <c r="U36" i="21"/>
  <c r="T37" i="21"/>
  <c r="T38" i="21"/>
  <c r="T39" i="21"/>
  <c r="T40" i="21"/>
  <c r="T41" i="21"/>
  <c r="T42" i="21"/>
  <c r="T36" i="21"/>
  <c r="S37" i="21"/>
  <c r="S38" i="21"/>
  <c r="S39" i="21"/>
  <c r="S40" i="21"/>
  <c r="S41" i="21"/>
  <c r="S42" i="21"/>
  <c r="V36" i="21" l="1"/>
  <c r="P46" i="21"/>
  <c r="P42" i="21" l="1"/>
  <c r="P41" i="21"/>
  <c r="P40" i="21"/>
  <c r="P39" i="21"/>
  <c r="P38" i="21"/>
  <c r="P37" i="21"/>
  <c r="P36" i="21"/>
  <c r="V37" i="21" l="1"/>
  <c r="W37" i="21" s="1"/>
  <c r="W36" i="21"/>
  <c r="P43" i="21" l="1"/>
  <c r="V38" i="21"/>
  <c r="W38" i="21" s="1"/>
  <c r="V39" i="21"/>
  <c r="W39" i="21" s="1"/>
  <c r="V40" i="21"/>
  <c r="W40" i="21" s="1"/>
  <c r="V41" i="21"/>
  <c r="W41" i="21" s="1"/>
  <c r="V42" i="21"/>
  <c r="W42" i="21" s="1"/>
  <c r="W43" i="21" l="1"/>
  <c r="F7" i="45" s="1"/>
  <c r="B10" i="45" s="1"/>
  <c r="F10" i="45" s="1"/>
  <c r="D12" i="45" s="1"/>
  <c r="F12" i="45" s="1"/>
  <c r="F13" i="45" s="1"/>
  <c r="E3" i="45"/>
  <c r="F52" i="42" l="1"/>
  <c r="F8" i="43"/>
  <c r="F6" i="42" s="1"/>
  <c r="F14" i="43"/>
  <c r="I10" i="41" s="1"/>
  <c r="K21" i="41" s="1"/>
  <c r="F7" i="43"/>
  <c r="F5" i="42" s="1"/>
  <c r="F6" i="43"/>
  <c r="E5" i="41" s="1"/>
  <c r="H30" i="42"/>
  <c r="F30" i="42"/>
  <c r="C30" i="42"/>
  <c r="N11" i="42"/>
  <c r="H11" i="42"/>
  <c r="B11" i="42"/>
  <c r="L21" i="41"/>
  <c r="F52" i="39"/>
  <c r="F14" i="40"/>
  <c r="F8" i="40"/>
  <c r="F6" i="39" s="1"/>
  <c r="F7" i="40"/>
  <c r="F5" i="39" s="1"/>
  <c r="F6" i="40"/>
  <c r="E5" i="38" s="1"/>
  <c r="C19" i="38" s="1"/>
  <c r="H30" i="39"/>
  <c r="F30" i="39"/>
  <c r="C30" i="39"/>
  <c r="N11" i="39"/>
  <c r="H11" i="39"/>
  <c r="B11" i="39"/>
  <c r="L21" i="38"/>
  <c r="F52" i="37"/>
  <c r="F14" i="35"/>
  <c r="F8" i="35"/>
  <c r="F6" i="37" s="1"/>
  <c r="F7" i="35"/>
  <c r="F5" i="37" s="1"/>
  <c r="F6" i="35"/>
  <c r="E5" i="36" s="1"/>
  <c r="H30" i="37"/>
  <c r="F30" i="37"/>
  <c r="C30" i="37"/>
  <c r="N11" i="37"/>
  <c r="H11" i="37"/>
  <c r="B11" i="37"/>
  <c r="L21" i="36"/>
  <c r="F14" i="34"/>
  <c r="I10" i="33" s="1"/>
  <c r="K21" i="33" s="1"/>
  <c r="F52" i="32"/>
  <c r="F14" i="31"/>
  <c r="F8" i="31"/>
  <c r="F6" i="30" s="1"/>
  <c r="F8" i="34"/>
  <c r="F6" i="32" s="1"/>
  <c r="F7" i="34"/>
  <c r="F5" i="32" s="1"/>
  <c r="F6" i="34"/>
  <c r="E5" i="33" s="1"/>
  <c r="L21" i="33"/>
  <c r="H30" i="32"/>
  <c r="F30" i="32"/>
  <c r="C30" i="32"/>
  <c r="N11" i="32"/>
  <c r="H11" i="32"/>
  <c r="B11" i="32"/>
  <c r="F7" i="31"/>
  <c r="F5" i="30" s="1"/>
  <c r="F6" i="31"/>
  <c r="E5" i="29" s="1"/>
  <c r="C19" i="29" s="1"/>
  <c r="F52" i="30"/>
  <c r="F52" i="28"/>
  <c r="H30" i="30"/>
  <c r="F30" i="30"/>
  <c r="C30" i="30"/>
  <c r="N11" i="30"/>
  <c r="H11" i="30"/>
  <c r="B11" i="30"/>
  <c r="L21" i="29"/>
  <c r="F14" i="26"/>
  <c r="F8" i="26"/>
  <c r="F6" i="28" s="1"/>
  <c r="F7" i="26"/>
  <c r="F5" i="28" s="1"/>
  <c r="F6" i="26"/>
  <c r="E5" i="27" s="1"/>
  <c r="H30" i="28"/>
  <c r="F30" i="28"/>
  <c r="C30" i="28"/>
  <c r="N11" i="28"/>
  <c r="H11" i="28"/>
  <c r="B11" i="28"/>
  <c r="L21" i="27"/>
  <c r="C19" i="27" l="1"/>
  <c r="C20" i="36"/>
  <c r="C19" i="36"/>
  <c r="C20" i="41"/>
  <c r="C19" i="41"/>
  <c r="C20" i="33"/>
  <c r="C19" i="33"/>
  <c r="I10" i="29"/>
  <c r="I10" i="27"/>
  <c r="I10" i="36"/>
  <c r="K21" i="36" s="1"/>
  <c r="I10" i="38"/>
  <c r="K21" i="38" s="1"/>
  <c r="C18" i="38"/>
  <c r="C20" i="38"/>
  <c r="C18" i="41"/>
  <c r="C21" i="41"/>
  <c r="C22" i="41"/>
  <c r="K20" i="41"/>
  <c r="L20" i="41" s="1"/>
  <c r="I12" i="41" s="1"/>
  <c r="F15" i="43" s="1"/>
  <c r="C23" i="41"/>
  <c r="C22" i="38"/>
  <c r="C21" i="38"/>
  <c r="C23" i="38"/>
  <c r="C21" i="36"/>
  <c r="C22" i="36"/>
  <c r="C18" i="36"/>
  <c r="C23" i="36"/>
  <c r="K20" i="33"/>
  <c r="L20" i="33" s="1"/>
  <c r="C18" i="33"/>
  <c r="C21" i="33"/>
  <c r="C22" i="33"/>
  <c r="I12" i="33"/>
  <c r="F15" i="34" s="1"/>
  <c r="C23" i="33"/>
  <c r="F14" i="23"/>
  <c r="F6" i="23"/>
  <c r="F7" i="23"/>
  <c r="F52" i="25"/>
  <c r="F8" i="23"/>
  <c r="K20" i="36" l="1"/>
  <c r="L20" i="36" s="1"/>
  <c r="I12" i="36" s="1"/>
  <c r="F15" i="35" s="1"/>
  <c r="K20" i="38"/>
  <c r="L20" i="38" s="1"/>
  <c r="I12" i="38"/>
  <c r="F15" i="40" s="1"/>
  <c r="C24" i="41"/>
  <c r="Z25" i="21" s="1"/>
  <c r="C24" i="38"/>
  <c r="Z24" i="21" s="1"/>
  <c r="C24" i="36"/>
  <c r="Z23" i="21" s="1"/>
  <c r="C24" i="33"/>
  <c r="Z22" i="21" s="1"/>
  <c r="H30" i="25"/>
  <c r="F30" i="25"/>
  <c r="C30" i="25"/>
  <c r="N11" i="25"/>
  <c r="H11" i="25"/>
  <c r="B11" i="25"/>
  <c r="F6" i="25"/>
  <c r="F5" i="25"/>
  <c r="L21" i="24"/>
  <c r="J10" i="33" l="1"/>
  <c r="F19" i="34"/>
  <c r="J10" i="41"/>
  <c r="F19" i="43"/>
  <c r="J10" i="38"/>
  <c r="F19" i="40"/>
  <c r="J10" i="36"/>
  <c r="F19" i="35"/>
  <c r="K21" i="27"/>
  <c r="K20" i="27"/>
  <c r="L20" i="27" s="1"/>
  <c r="I12" i="27" s="1"/>
  <c r="K21" i="29"/>
  <c r="K20" i="29"/>
  <c r="L20" i="29" s="1"/>
  <c r="I12" i="29"/>
  <c r="F15" i="31" s="1"/>
  <c r="C20" i="27"/>
  <c r="C23" i="27"/>
  <c r="C18" i="27"/>
  <c r="C22" i="27"/>
  <c r="C21" i="27"/>
  <c r="C20" i="29"/>
  <c r="C18" i="29"/>
  <c r="C22" i="29"/>
  <c r="C21" i="29"/>
  <c r="C23" i="29"/>
  <c r="R5" i="21"/>
  <c r="I14" i="41" l="1"/>
  <c r="E52" i="42"/>
  <c r="G52" i="42" s="1"/>
  <c r="F9" i="43" s="1"/>
  <c r="F7" i="42" s="1"/>
  <c r="I14" i="38"/>
  <c r="E52" i="39"/>
  <c r="G52" i="39" s="1"/>
  <c r="F9" i="40" s="1"/>
  <c r="F7" i="39" s="1"/>
  <c r="I14" i="36"/>
  <c r="E52" i="37"/>
  <c r="G52" i="37" s="1"/>
  <c r="F9" i="35" s="1"/>
  <c r="F7" i="37" s="1"/>
  <c r="I14" i="33"/>
  <c r="E52" i="32"/>
  <c r="F15" i="26"/>
  <c r="C24" i="29"/>
  <c r="Z21" i="21" s="1"/>
  <c r="C24" i="27"/>
  <c r="Z20" i="21" s="1"/>
  <c r="F32" i="42" l="1"/>
  <c r="H37" i="42"/>
  <c r="F37" i="42"/>
  <c r="F35" i="42"/>
  <c r="H40" i="42"/>
  <c r="H38" i="42"/>
  <c r="F34" i="42"/>
  <c r="C35" i="42"/>
  <c r="C38" i="42"/>
  <c r="H31" i="42"/>
  <c r="F36" i="42"/>
  <c r="C34" i="42"/>
  <c r="C36" i="42"/>
  <c r="F38" i="42"/>
  <c r="H33" i="42"/>
  <c r="C39" i="42"/>
  <c r="F31" i="42"/>
  <c r="H36" i="42"/>
  <c r="C32" i="42"/>
  <c r="C40" i="42"/>
  <c r="H35" i="42"/>
  <c r="H39" i="42"/>
  <c r="F40" i="42"/>
  <c r="H32" i="42"/>
  <c r="H34" i="42"/>
  <c r="C37" i="42"/>
  <c r="C31" i="42"/>
  <c r="F33" i="42"/>
  <c r="F39" i="42"/>
  <c r="C33" i="42"/>
  <c r="H33" i="39"/>
  <c r="C39" i="39"/>
  <c r="H38" i="39"/>
  <c r="F35" i="39"/>
  <c r="H40" i="39"/>
  <c r="H31" i="39"/>
  <c r="C37" i="39"/>
  <c r="F32" i="39"/>
  <c r="C36" i="39"/>
  <c r="F39" i="39"/>
  <c r="H35" i="39"/>
  <c r="H34" i="39"/>
  <c r="C35" i="39"/>
  <c r="F40" i="39"/>
  <c r="F31" i="39"/>
  <c r="H36" i="39"/>
  <c r="F33" i="39"/>
  <c r="C33" i="39"/>
  <c r="F38" i="39"/>
  <c r="C31" i="39"/>
  <c r="F36" i="39"/>
  <c r="C32" i="39"/>
  <c r="H32" i="39"/>
  <c r="C38" i="39"/>
  <c r="F37" i="39"/>
  <c r="F34" i="39"/>
  <c r="H39" i="39"/>
  <c r="H37" i="39"/>
  <c r="C34" i="39"/>
  <c r="C40" i="39"/>
  <c r="C32" i="37"/>
  <c r="H33" i="37"/>
  <c r="C39" i="37"/>
  <c r="H38" i="37"/>
  <c r="F35" i="37"/>
  <c r="H40" i="37"/>
  <c r="C33" i="37"/>
  <c r="F38" i="37"/>
  <c r="C35" i="37"/>
  <c r="F40" i="37"/>
  <c r="F31" i="37"/>
  <c r="H36" i="37"/>
  <c r="H34" i="37"/>
  <c r="F34" i="37"/>
  <c r="C31" i="37"/>
  <c r="F36" i="37"/>
  <c r="F33" i="37"/>
  <c r="H32" i="37"/>
  <c r="C38" i="37"/>
  <c r="C40" i="37"/>
  <c r="H35" i="37"/>
  <c r="H39" i="37"/>
  <c r="F32" i="37"/>
  <c r="H37" i="37"/>
  <c r="F37" i="37"/>
  <c r="C34" i="37"/>
  <c r="F39" i="37"/>
  <c r="H31" i="37"/>
  <c r="C37" i="37"/>
  <c r="C36" i="37"/>
  <c r="J10" i="29"/>
  <c r="G52" i="32" s="1"/>
  <c r="F9" i="34" s="1"/>
  <c r="F19" i="31"/>
  <c r="J10" i="27"/>
  <c r="F19" i="26"/>
  <c r="R6" i="21"/>
  <c r="R7" i="21" l="1"/>
  <c r="S4" i="21"/>
  <c r="H42" i="37"/>
  <c r="C42" i="42"/>
  <c r="H42" i="42"/>
  <c r="F42" i="42"/>
  <c r="F42" i="39"/>
  <c r="H42" i="39"/>
  <c r="C42" i="39"/>
  <c r="C42" i="37"/>
  <c r="F42" i="37"/>
  <c r="E52" i="30"/>
  <c r="I14" i="29"/>
  <c r="I14" i="27"/>
  <c r="E52" i="28"/>
  <c r="B7" i="45" l="1"/>
  <c r="J42" i="39"/>
  <c r="C43" i="39" s="1"/>
  <c r="F25" i="40" s="1"/>
  <c r="J42" i="42"/>
  <c r="C43" i="42" s="1"/>
  <c r="J42" i="37"/>
  <c r="C43" i="37" s="1"/>
  <c r="T24" i="21" l="1"/>
  <c r="U24" i="21"/>
  <c r="B22" i="45" s="1"/>
  <c r="C22" i="45" s="1"/>
  <c r="F20" i="40"/>
  <c r="B49" i="39" s="1"/>
  <c r="F25" i="43"/>
  <c r="F20" i="43"/>
  <c r="B49" i="42" s="1"/>
  <c r="F20" i="35"/>
  <c r="F25" i="35"/>
  <c r="E5" i="24"/>
  <c r="C19" i="24" s="1"/>
  <c r="T25" i="21" l="1"/>
  <c r="U25" i="21"/>
  <c r="B23" i="45" s="1"/>
  <c r="C23" i="45" s="1"/>
  <c r="T23" i="21"/>
  <c r="U23" i="21"/>
  <c r="B21" i="45" s="1"/>
  <c r="B49" i="37"/>
  <c r="I10" i="24"/>
  <c r="C18" i="24"/>
  <c r="C22" i="24"/>
  <c r="C20" i="24"/>
  <c r="C21" i="24"/>
  <c r="C23" i="24"/>
  <c r="C21" i="45" l="1"/>
  <c r="D21" i="45" s="1"/>
  <c r="D23" i="45"/>
  <c r="K20" i="24"/>
  <c r="L20" i="24" s="1"/>
  <c r="I12" i="24" s="1"/>
  <c r="K21" i="24"/>
  <c r="C24" i="24"/>
  <c r="F19" i="23" l="1"/>
  <c r="Z19" i="21"/>
  <c r="F15" i="23"/>
  <c r="J10" i="24"/>
  <c r="G52" i="30" l="1"/>
  <c r="F9" i="31" s="1"/>
  <c r="G52" i="28"/>
  <c r="I14" i="24"/>
  <c r="E52" i="25"/>
  <c r="G52" i="25" s="1"/>
  <c r="F9" i="23" s="1"/>
  <c r="F7" i="30" l="1"/>
  <c r="F7" i="32"/>
  <c r="F9" i="26"/>
  <c r="F7" i="28" s="1"/>
  <c r="F7" i="25"/>
  <c r="H39" i="25" s="1"/>
  <c r="C35" i="25" l="1"/>
  <c r="F36" i="25"/>
  <c r="C38" i="25"/>
  <c r="F33" i="25"/>
  <c r="F37" i="25"/>
  <c r="F31" i="25"/>
  <c r="C36" i="25"/>
  <c r="H35" i="25"/>
  <c r="C37" i="25"/>
  <c r="C40" i="25"/>
  <c r="F35" i="25"/>
  <c r="C32" i="25"/>
  <c r="F39" i="25"/>
  <c r="C34" i="25"/>
  <c r="H39" i="32"/>
  <c r="H38" i="32"/>
  <c r="C35" i="32"/>
  <c r="F40" i="32"/>
  <c r="F31" i="32"/>
  <c r="H36" i="32"/>
  <c r="H31" i="32"/>
  <c r="C37" i="32"/>
  <c r="C34" i="32"/>
  <c r="F34" i="32"/>
  <c r="C36" i="32"/>
  <c r="H33" i="32"/>
  <c r="C40" i="32"/>
  <c r="F35" i="32"/>
  <c r="H35" i="32"/>
  <c r="C32" i="32"/>
  <c r="C31" i="32"/>
  <c r="F36" i="32"/>
  <c r="H34" i="32"/>
  <c r="H32" i="32"/>
  <c r="C38" i="32"/>
  <c r="C33" i="32"/>
  <c r="F38" i="32"/>
  <c r="F33" i="32"/>
  <c r="F32" i="32"/>
  <c r="H37" i="32"/>
  <c r="F37" i="32"/>
  <c r="F39" i="32"/>
  <c r="C39" i="32"/>
  <c r="H40" i="32"/>
  <c r="C39" i="25"/>
  <c r="H34" i="25"/>
  <c r="F40" i="25"/>
  <c r="H38" i="25"/>
  <c r="H33" i="25"/>
  <c r="H40" i="25"/>
  <c r="H36" i="25"/>
  <c r="H32" i="25"/>
  <c r="F32" i="25"/>
  <c r="F38" i="25"/>
  <c r="F34" i="25"/>
  <c r="C33" i="25"/>
  <c r="C31" i="25"/>
  <c r="H37" i="25"/>
  <c r="H31" i="25"/>
  <c r="H33" i="28"/>
  <c r="C39" i="28"/>
  <c r="F37" i="28"/>
  <c r="C34" i="28"/>
  <c r="F39" i="28"/>
  <c r="H31" i="28"/>
  <c r="C37" i="28"/>
  <c r="F32" i="28"/>
  <c r="C36" i="28"/>
  <c r="C38" i="28"/>
  <c r="H35" i="28"/>
  <c r="H39" i="28"/>
  <c r="F33" i="28"/>
  <c r="C35" i="28"/>
  <c r="F40" i="28"/>
  <c r="C40" i="28"/>
  <c r="F35" i="28"/>
  <c r="H40" i="28"/>
  <c r="C33" i="28"/>
  <c r="F38" i="28"/>
  <c r="C31" i="28"/>
  <c r="F36" i="28"/>
  <c r="C32" i="28"/>
  <c r="F31" i="28"/>
  <c r="H36" i="28"/>
  <c r="H34" i="28"/>
  <c r="F34" i="28"/>
  <c r="H37" i="28"/>
  <c r="H32" i="28"/>
  <c r="H38" i="28"/>
  <c r="H39" i="30"/>
  <c r="C35" i="30"/>
  <c r="C34" i="30"/>
  <c r="F39" i="30"/>
  <c r="C36" i="30"/>
  <c r="C31" i="30"/>
  <c r="F40" i="30"/>
  <c r="H35" i="30"/>
  <c r="F33" i="30"/>
  <c r="F31" i="30"/>
  <c r="H36" i="30"/>
  <c r="C32" i="30"/>
  <c r="H38" i="30"/>
  <c r="F36" i="30"/>
  <c r="C33" i="30"/>
  <c r="F38" i="30"/>
  <c r="H32" i="30"/>
  <c r="H37" i="30"/>
  <c r="C39" i="30"/>
  <c r="F35" i="30"/>
  <c r="H40" i="30"/>
  <c r="F37" i="30"/>
  <c r="H33" i="30"/>
  <c r="H31" i="30"/>
  <c r="C37" i="30"/>
  <c r="F32" i="30"/>
  <c r="C38" i="30"/>
  <c r="H34" i="30"/>
  <c r="C40" i="30"/>
  <c r="F34" i="30"/>
  <c r="C42" i="25" l="1"/>
  <c r="F42" i="25"/>
  <c r="H42" i="25"/>
  <c r="H42" i="32"/>
  <c r="C42" i="32"/>
  <c r="F42" i="32"/>
  <c r="F42" i="30"/>
  <c r="C42" i="30"/>
  <c r="F42" i="28"/>
  <c r="H42" i="28"/>
  <c r="H42" i="30"/>
  <c r="C42" i="28"/>
  <c r="J42" i="25" l="1"/>
  <c r="C43" i="25" s="1"/>
  <c r="F20" i="23" s="1"/>
  <c r="J42" i="32"/>
  <c r="C43" i="32" s="1"/>
  <c r="J42" i="30"/>
  <c r="C43" i="30" s="1"/>
  <c r="J42" i="28"/>
  <c r="C43" i="28" s="1"/>
  <c r="F25" i="23" l="1"/>
  <c r="T19" i="21" s="1"/>
  <c r="F21" i="40"/>
  <c r="F21" i="35"/>
  <c r="F24" i="35" s="1"/>
  <c r="F21" i="43"/>
  <c r="F25" i="31"/>
  <c r="F20" i="31"/>
  <c r="B49" i="30" s="1"/>
  <c r="F21" i="31" s="1"/>
  <c r="F24" i="31" s="1"/>
  <c r="R21" i="21" s="1"/>
  <c r="S21" i="21" s="1"/>
  <c r="F25" i="34"/>
  <c r="F20" i="34"/>
  <c r="B49" i="32" s="1"/>
  <c r="F21" i="34" s="1"/>
  <c r="F24" i="34" s="1"/>
  <c r="R22" i="21" s="1"/>
  <c r="S22" i="21" s="1"/>
  <c r="F20" i="26"/>
  <c r="B49" i="28" s="1"/>
  <c r="F25" i="26"/>
  <c r="B49" i="25"/>
  <c r="F21" i="23" s="1"/>
  <c r="F24" i="43" l="1"/>
  <c r="R25" i="21" s="1"/>
  <c r="S25" i="21" s="1"/>
  <c r="V25" i="21" s="1"/>
  <c r="F24" i="40"/>
  <c r="F26" i="40" s="1"/>
  <c r="F24" i="23"/>
  <c r="R19" i="21" s="1"/>
  <c r="S19" i="21" s="1"/>
  <c r="V19" i="21" s="1"/>
  <c r="U22" i="21"/>
  <c r="B20" i="45" s="1"/>
  <c r="C20" i="45" s="1"/>
  <c r="T22" i="21"/>
  <c r="V22" i="21" s="1"/>
  <c r="T20" i="21"/>
  <c r="U20" i="21"/>
  <c r="B18" i="45" s="1"/>
  <c r="U21" i="21"/>
  <c r="B19" i="45" s="1"/>
  <c r="T21" i="21"/>
  <c r="V21" i="21" s="1"/>
  <c r="U19" i="21"/>
  <c r="F26" i="34"/>
  <c r="R23" i="21"/>
  <c r="S23" i="21" s="1"/>
  <c r="V23" i="21" s="1"/>
  <c r="F26" i="35"/>
  <c r="F21" i="26"/>
  <c r="F24" i="26" s="1"/>
  <c r="F26" i="31"/>
  <c r="R24" i="21" l="1"/>
  <c r="S24" i="21" s="1"/>
  <c r="F26" i="43"/>
  <c r="W25" i="21"/>
  <c r="W23" i="21"/>
  <c r="X23" i="21" s="1"/>
  <c r="F26" i="23"/>
  <c r="X25" i="21"/>
  <c r="C19" i="45"/>
  <c r="D19" i="45" s="1"/>
  <c r="C18" i="45"/>
  <c r="D18" i="45" s="1"/>
  <c r="D20" i="45"/>
  <c r="D22" i="45"/>
  <c r="B17" i="45"/>
  <c r="C17" i="45" s="1"/>
  <c r="D17" i="45" s="1"/>
  <c r="C3" i="45"/>
  <c r="W19" i="21"/>
  <c r="F26" i="26"/>
  <c r="R20" i="21"/>
  <c r="S20" i="21" s="1"/>
  <c r="V20" i="21" s="1"/>
  <c r="V24" i="21" l="1"/>
  <c r="W24" i="21" s="1"/>
  <c r="X24" i="21" s="1"/>
  <c r="W20" i="21"/>
  <c r="W21" i="21"/>
  <c r="X21" i="21" s="1"/>
  <c r="W22" i="21"/>
  <c r="X22" i="21" s="1"/>
  <c r="X19" i="21"/>
  <c r="D24" i="45"/>
  <c r="D3" i="45" s="1"/>
  <c r="G32" i="21" l="1"/>
  <c r="D32" i="21"/>
  <c r="E32" i="21"/>
  <c r="X20" i="21"/>
  <c r="F32" i="21" s="1"/>
  <c r="B3" i="45"/>
  <c r="F3" i="45" s="1"/>
  <c r="B5" i="45" s="1"/>
  <c r="G33" i="21" s="1"/>
  <c r="G34" i="21" l="1"/>
  <c r="F33" i="21"/>
  <c r="F34" i="21" s="1"/>
  <c r="P47" i="21"/>
  <c r="Q47" i="21" s="1"/>
  <c r="P51" i="21"/>
  <c r="Q51" i="21" s="1"/>
  <c r="E33" i="21" l="1"/>
  <c r="E34" i="21" s="1"/>
  <c r="D33" i="21"/>
  <c r="D34" i="21" s="1"/>
  <c r="G27" i="21" l="1"/>
  <c r="G29" i="21" s="1"/>
</calcChain>
</file>

<file path=xl/sharedStrings.xml><?xml version="1.0" encoding="utf-8"?>
<sst xmlns="http://schemas.openxmlformats.org/spreadsheetml/2006/main" count="1490" uniqueCount="262">
  <si>
    <t>円</t>
    <rPh sb="0" eb="1">
      <t>エン</t>
    </rPh>
    <phoneticPr fontId="2"/>
  </si>
  <si>
    <t>所得割</t>
    <rPh sb="0" eb="2">
      <t>ショトク</t>
    </rPh>
    <rPh sb="2" eb="3">
      <t>ワリ</t>
    </rPh>
    <phoneticPr fontId="2"/>
  </si>
  <si>
    <t>均等割</t>
    <rPh sb="0" eb="3">
      <t>キントウワリ</t>
    </rPh>
    <phoneticPr fontId="2"/>
  </si>
  <si>
    <t>課税額</t>
    <rPh sb="0" eb="3">
      <t>カゼイガク</t>
    </rPh>
    <phoneticPr fontId="2"/>
  </si>
  <si>
    <t>その他所得</t>
    <rPh sb="2" eb="3">
      <t>タ</t>
    </rPh>
    <rPh sb="3" eb="5">
      <t>ショトク</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</si>
  <si>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</si>
  <si>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</si>
  <si>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</si>
  <si>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</si>
  <si>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</si>
  <si>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加入者（６）</t>
    <rPh sb="0" eb="3">
      <t>カニュウシャ</t>
    </rPh>
    <phoneticPr fontId="2"/>
  </si>
  <si>
    <t>加入者（７）</t>
    <rPh sb="0" eb="3">
      <t>カニュウシャ</t>
    </rPh>
    <phoneticPr fontId="2"/>
  </si>
  <si>
    <t>●試算シートの使い方</t>
    <rPh sb="1" eb="3">
      <t>シサン</t>
    </rPh>
    <rPh sb="7" eb="8">
      <t>ツカ</t>
    </rPh>
    <rPh sb="9" eb="10">
      <t>カタ</t>
    </rPh>
    <phoneticPr fontId="2"/>
  </si>
  <si>
    <t>基礎課税額</t>
    <rPh sb="0" eb="2">
      <t>キソ</t>
    </rPh>
    <rPh sb="2" eb="5">
      <t>カゼイガク</t>
    </rPh>
    <phoneticPr fontId="2"/>
  </si>
  <si>
    <t>後期高齢者支援金</t>
    <rPh sb="0" eb="2">
      <t>コウキ</t>
    </rPh>
    <rPh sb="2" eb="5">
      <t>コウレイシャ</t>
    </rPh>
    <rPh sb="5" eb="8">
      <t>シエンキン</t>
    </rPh>
    <phoneticPr fontId="2"/>
  </si>
  <si>
    <t>介護納付金
（４０歳から６４歳まで）</t>
    <rPh sb="0" eb="2">
      <t>カイゴ</t>
    </rPh>
    <rPh sb="2" eb="5">
      <t>ノウフキン</t>
    </rPh>
    <rPh sb="9" eb="10">
      <t>サイ</t>
    </rPh>
    <rPh sb="14" eb="15">
      <t>サイ</t>
    </rPh>
    <phoneticPr fontId="2"/>
  </si>
  <si>
    <t>【注意事項】</t>
    <rPh sb="1" eb="3">
      <t>チュウイ</t>
    </rPh>
    <rPh sb="3" eb="5">
      <t>ジコウ</t>
    </rPh>
    <phoneticPr fontId="2"/>
  </si>
  <si>
    <t>上記結果はあくまで試算であり、実際の税額とは異なる場合があります。</t>
    <rPh sb="0" eb="2">
      <t>ジョウキ</t>
    </rPh>
    <rPh sb="2" eb="4">
      <t>ケッカ</t>
    </rPh>
    <rPh sb="9" eb="11">
      <t>シサン</t>
    </rPh>
    <rPh sb="15" eb="17">
      <t>ジッサイ</t>
    </rPh>
    <rPh sb="18" eb="19">
      <t>ゼイ</t>
    </rPh>
    <rPh sb="19" eb="20">
      <t>ガク</t>
    </rPh>
    <rPh sb="22" eb="23">
      <t>コト</t>
    </rPh>
    <rPh sb="25" eb="27">
      <t>バアイ</t>
    </rPh>
    <phoneticPr fontId="2"/>
  </si>
  <si>
    <t>〇70歳から74歳までの方、負担割合が現在加入中の社会保険と国保で異なる場合があります。</t>
    <rPh sb="3" eb="4">
      <t>サイ</t>
    </rPh>
    <rPh sb="8" eb="9">
      <t>サイ</t>
    </rPh>
    <rPh sb="12" eb="13">
      <t>カタ</t>
    </rPh>
    <rPh sb="14" eb="16">
      <t>フタン</t>
    </rPh>
    <rPh sb="16" eb="18">
      <t>ワリアイ</t>
    </rPh>
    <rPh sb="19" eb="21">
      <t>ゲンザイ</t>
    </rPh>
    <rPh sb="21" eb="23">
      <t>カニュウ</t>
    </rPh>
    <rPh sb="23" eb="24">
      <t>チュウ</t>
    </rPh>
    <rPh sb="25" eb="27">
      <t>シャカイ</t>
    </rPh>
    <rPh sb="27" eb="29">
      <t>ホケン</t>
    </rPh>
    <rPh sb="30" eb="32">
      <t>コクホ</t>
    </rPh>
    <rPh sb="33" eb="34">
      <t>コト</t>
    </rPh>
    <rPh sb="36" eb="38">
      <t>バアイ</t>
    </rPh>
    <phoneticPr fontId="2"/>
  </si>
  <si>
    <t>参考）
１か月当たり</t>
    <rPh sb="0" eb="2">
      <t>サンコウ</t>
    </rPh>
    <rPh sb="6" eb="7">
      <t>ツキ</t>
    </rPh>
    <rPh sb="7" eb="8">
      <t>ア</t>
    </rPh>
    <phoneticPr fontId="2"/>
  </si>
  <si>
    <t>上尾市国民健康保険税のおおよその年税額と１か月あたりの税額を知ることが出来ます。</t>
    <rPh sb="0" eb="3">
      <t>アゲオシ</t>
    </rPh>
    <rPh sb="3" eb="5">
      <t>コクミン</t>
    </rPh>
    <rPh sb="5" eb="7">
      <t>ケンコウ</t>
    </rPh>
    <rPh sb="7" eb="9">
      <t>ホケン</t>
    </rPh>
    <rPh sb="9" eb="10">
      <t>ゼイ</t>
    </rPh>
    <rPh sb="16" eb="19">
      <t>ネンゼイガク</t>
    </rPh>
    <rPh sb="22" eb="23">
      <t>ゲツ</t>
    </rPh>
    <rPh sb="27" eb="29">
      <t>ゼイガク</t>
    </rPh>
    <rPh sb="30" eb="31">
      <t>シ</t>
    </rPh>
    <rPh sb="35" eb="37">
      <t>デキ</t>
    </rPh>
    <phoneticPr fontId="2"/>
  </si>
  <si>
    <t>その他上記以外でも国保税が軽減される場合がありますので、詳しくは保険年金課までお問い合わせください。</t>
    <rPh sb="2" eb="3">
      <t>タ</t>
    </rPh>
    <rPh sb="3" eb="5">
      <t>ジョウキ</t>
    </rPh>
    <rPh sb="5" eb="7">
      <t>イガイ</t>
    </rPh>
    <rPh sb="9" eb="11">
      <t>コクホ</t>
    </rPh>
    <rPh sb="11" eb="12">
      <t>ゼイ</t>
    </rPh>
    <rPh sb="13" eb="15">
      <t>ケイゲン</t>
    </rPh>
    <rPh sb="18" eb="20">
      <t>バアイ</t>
    </rPh>
    <rPh sb="28" eb="29">
      <t>クワ</t>
    </rPh>
    <rPh sb="32" eb="34">
      <t>ホケン</t>
    </rPh>
    <rPh sb="34" eb="36">
      <t>ネンキン</t>
    </rPh>
    <rPh sb="36" eb="37">
      <t>カ</t>
    </rPh>
    <rPh sb="40" eb="41">
      <t>ト</t>
    </rPh>
    <rPh sb="42" eb="43">
      <t>ア</t>
    </rPh>
    <phoneticPr fontId="2"/>
  </si>
  <si>
    <t>上尾市役所　保険年金課　国保資格・課税担当</t>
    <rPh sb="0" eb="5">
      <t>アゲオシヤクショ</t>
    </rPh>
    <rPh sb="6" eb="8">
      <t>ホケン</t>
    </rPh>
    <rPh sb="8" eb="10">
      <t>ネンキン</t>
    </rPh>
    <rPh sb="10" eb="11">
      <t>カ</t>
    </rPh>
    <rPh sb="12" eb="14">
      <t>コクホ</t>
    </rPh>
    <rPh sb="14" eb="16">
      <t>シカク</t>
    </rPh>
    <rPh sb="17" eb="19">
      <t>カゼイ</t>
    </rPh>
    <rPh sb="19" eb="21">
      <t>タントウ</t>
    </rPh>
    <phoneticPr fontId="2"/>
  </si>
  <si>
    <t>℡　０４８－７８２－６４７１（直通）</t>
    <rPh sb="15" eb="17">
      <t>チョクツウ</t>
    </rPh>
    <phoneticPr fontId="2"/>
  </si>
  <si>
    <t>４０～６４歳</t>
    <rPh sb="5" eb="6">
      <t>サイ</t>
    </rPh>
    <phoneticPr fontId="2"/>
  </si>
  <si>
    <t>６５歳～</t>
    <rPh sb="2" eb="3">
      <t>サイ</t>
    </rPh>
    <phoneticPr fontId="2"/>
  </si>
  <si>
    <t>～３９歳</t>
    <rPh sb="3" eb="4">
      <t>サイ</t>
    </rPh>
    <phoneticPr fontId="2"/>
  </si>
  <si>
    <t xml:space="preserve">   問い合わせ先</t>
    <rPh sb="3" eb="4">
      <t>ト</t>
    </rPh>
    <rPh sb="5" eb="6">
      <t>ア</t>
    </rPh>
    <rPh sb="8" eb="9">
      <t>サキ</t>
    </rPh>
    <phoneticPr fontId="2"/>
  </si>
  <si>
    <t>人数確認</t>
    <rPh sb="0" eb="2">
      <t>ニンズウ</t>
    </rPh>
    <rPh sb="2" eb="4">
      <t>カクニン</t>
    </rPh>
    <phoneticPr fontId="2"/>
  </si>
  <si>
    <t>年金（64以下）</t>
    <rPh sb="0" eb="2">
      <t>ネンキン</t>
    </rPh>
    <rPh sb="5" eb="7">
      <t>イカ</t>
    </rPh>
    <phoneticPr fontId="2"/>
  </si>
  <si>
    <t>給与（30/100）</t>
    <rPh sb="0" eb="2">
      <t>キュウヨ</t>
    </rPh>
    <phoneticPr fontId="2"/>
  </si>
  <si>
    <t>合計所得</t>
    <rPh sb="0" eb="2">
      <t>ゴウケイ</t>
    </rPh>
    <rPh sb="2" eb="4">
      <t>ショトク</t>
    </rPh>
    <phoneticPr fontId="2"/>
  </si>
  <si>
    <t>合計</t>
    <rPh sb="0" eb="2">
      <t>ゴウケイ</t>
    </rPh>
    <phoneticPr fontId="2"/>
  </si>
  <si>
    <t>所得金額調整控除額（１）、（２）算出表</t>
    <rPh sb="8" eb="9">
      <t>ガク</t>
    </rPh>
    <phoneticPr fontId="2"/>
  </si>
  <si>
    <t>年間給与収入</t>
    <rPh sb="0" eb="2">
      <t>ネンカン</t>
    </rPh>
    <rPh sb="2" eb="4">
      <t>キュウヨ</t>
    </rPh>
    <rPh sb="4" eb="6">
      <t>シュウニュウ</t>
    </rPh>
    <phoneticPr fontId="2"/>
  </si>
  <si>
    <t>公的年金等の収入</t>
    <rPh sb="0" eb="2">
      <t>コウテキ</t>
    </rPh>
    <rPh sb="2" eb="4">
      <t>ネンキン</t>
    </rPh>
    <rPh sb="4" eb="5">
      <t>トウ</t>
    </rPh>
    <rPh sb="6" eb="8">
      <t>シュウニュウ</t>
    </rPh>
    <phoneticPr fontId="2"/>
  </si>
  <si>
    <t>年齢（翌年１月１日現在）</t>
    <rPh sb="0" eb="2">
      <t>ネンレイ</t>
    </rPh>
    <phoneticPr fontId="2"/>
  </si>
  <si>
    <t>65歳以上</t>
    <rPh sb="2" eb="3">
      <t>サイ</t>
    </rPh>
    <rPh sb="3" eb="5">
      <t>イジョウ</t>
    </rPh>
    <phoneticPr fontId="2"/>
  </si>
  <si>
    <t>公的年金等に係る雑所得以外の
所得に係る合計所得金額</t>
    <rPh sb="0" eb="2">
      <t>コウテキ</t>
    </rPh>
    <rPh sb="2" eb="4">
      <t>ネンキン</t>
    </rPh>
    <rPh sb="4" eb="5">
      <t>トウ</t>
    </rPh>
    <rPh sb="6" eb="7">
      <t>カカ</t>
    </rPh>
    <rPh sb="8" eb="11">
      <t>ザッショトク</t>
    </rPh>
    <rPh sb="11" eb="13">
      <t>イガイ</t>
    </rPh>
    <rPh sb="15" eb="17">
      <t>ショトク</t>
    </rPh>
    <rPh sb="18" eb="19">
      <t>カカ</t>
    </rPh>
    <rPh sb="20" eb="22">
      <t>ゴウケイ</t>
    </rPh>
    <rPh sb="22" eb="24">
      <t>ショトク</t>
    </rPh>
    <rPh sb="24" eb="26">
      <t>キンガク</t>
    </rPh>
    <phoneticPr fontId="2"/>
  </si>
  <si>
    <t>1,000万円以下</t>
    <rPh sb="5" eb="7">
      <t>マンエン</t>
    </rPh>
    <rPh sb="7" eb="9">
      <t>イカ</t>
    </rPh>
    <phoneticPr fontId="2"/>
  </si>
  <si>
    <t>※公的年金等に、障害年金、遺族年金は含みません。</t>
    <rPh sb="1" eb="3">
      <t>コウテキ</t>
    </rPh>
    <rPh sb="3" eb="5">
      <t>ネンキン</t>
    </rPh>
    <rPh sb="5" eb="6">
      <t>トウ</t>
    </rPh>
    <rPh sb="8" eb="10">
      <t>ショウガイ</t>
    </rPh>
    <rPh sb="10" eb="12">
      <t>ネンキン</t>
    </rPh>
    <rPh sb="13" eb="15">
      <t>イゾク</t>
    </rPh>
    <rPh sb="15" eb="17">
      <t>ネンキン</t>
    </rPh>
    <rPh sb="18" eb="19">
      <t>フク</t>
    </rPh>
    <phoneticPr fontId="2"/>
  </si>
  <si>
    <t>所得金額調整控除額（１）</t>
    <rPh sb="0" eb="2">
      <t>ショトク</t>
    </rPh>
    <rPh sb="2" eb="4">
      <t>キンガク</t>
    </rPh>
    <rPh sb="4" eb="6">
      <t>チョウセイ</t>
    </rPh>
    <rPh sb="6" eb="8">
      <t>コウジョ</t>
    </rPh>
    <rPh sb="8" eb="9">
      <t>ガク</t>
    </rPh>
    <phoneticPr fontId="2"/>
  </si>
  <si>
    <t>３．所得金額調整控除額（２．年金等）</t>
    <rPh sb="10" eb="11">
      <t>ガク</t>
    </rPh>
    <phoneticPr fontId="2"/>
  </si>
  <si>
    <t>給与所得の金額</t>
    <rPh sb="0" eb="2">
      <t>キュウヨ</t>
    </rPh>
    <rPh sb="2" eb="4">
      <t>ショトク</t>
    </rPh>
    <rPh sb="5" eb="6">
      <t>キン</t>
    </rPh>
    <rPh sb="6" eb="7">
      <t>ガク</t>
    </rPh>
    <phoneticPr fontId="2"/>
  </si>
  <si>
    <t>公的年金等に係る雑所得の金額</t>
    <rPh sb="0" eb="2">
      <t>コウテキ</t>
    </rPh>
    <rPh sb="2" eb="4">
      <t>ネンキン</t>
    </rPh>
    <rPh sb="4" eb="5">
      <t>トウ</t>
    </rPh>
    <rPh sb="6" eb="7">
      <t>カカ</t>
    </rPh>
    <rPh sb="8" eb="11">
      <t>ザツショトク</t>
    </rPh>
    <rPh sb="12" eb="14">
      <t>キンガク</t>
    </rPh>
    <phoneticPr fontId="2"/>
  </si>
  <si>
    <t>所得金額調整控除額（２）</t>
    <rPh sb="8" eb="9">
      <t>ガク</t>
    </rPh>
    <phoneticPr fontId="2"/>
  </si>
  <si>
    <t>４．給与、公的年金等所得金額</t>
    <rPh sb="2" eb="4">
      <t>キュウヨ</t>
    </rPh>
    <rPh sb="5" eb="7">
      <t>コウテキ</t>
    </rPh>
    <rPh sb="7" eb="9">
      <t>ネンキン</t>
    </rPh>
    <rPh sb="9" eb="10">
      <t>トウ</t>
    </rPh>
    <rPh sb="10" eb="12">
      <t>ショトク</t>
    </rPh>
    <rPh sb="12" eb="14">
      <t>キンガク</t>
    </rPh>
    <phoneticPr fontId="2"/>
  </si>
  <si>
    <t>給与所得額</t>
    <rPh sb="0" eb="2">
      <t>キュウヨ</t>
    </rPh>
    <rPh sb="2" eb="4">
      <t>ショトク</t>
    </rPh>
    <rPh sb="4" eb="5">
      <t>ガク</t>
    </rPh>
    <phoneticPr fontId="2"/>
  </si>
  <si>
    <t>公的年金等所得額</t>
    <rPh sb="0" eb="2">
      <t>コウテキ</t>
    </rPh>
    <rPh sb="2" eb="4">
      <t>ネンキン</t>
    </rPh>
    <rPh sb="4" eb="5">
      <t>トウ</t>
    </rPh>
    <rPh sb="5" eb="7">
      <t>ショトク</t>
    </rPh>
    <rPh sb="7" eb="8">
      <t>ガク</t>
    </rPh>
    <phoneticPr fontId="2"/>
  </si>
  <si>
    <t>給与所得及び公的年金等所得の合計額</t>
    <rPh sb="0" eb="2">
      <t>キュウヨ</t>
    </rPh>
    <rPh sb="2" eb="4">
      <t>ショトク</t>
    </rPh>
    <rPh sb="4" eb="5">
      <t>オヨ</t>
    </rPh>
    <rPh sb="6" eb="8">
      <t>コウテキ</t>
    </rPh>
    <rPh sb="8" eb="10">
      <t>ネンキン</t>
    </rPh>
    <rPh sb="10" eb="11">
      <t>トウ</t>
    </rPh>
    <rPh sb="11" eb="13">
      <t>ショトク</t>
    </rPh>
    <rPh sb="14" eb="16">
      <t>ゴウケイ</t>
    </rPh>
    <rPh sb="16" eb="17">
      <t>ガク</t>
    </rPh>
    <phoneticPr fontId="2"/>
  </si>
  <si>
    <t>（１）所得金額調整控除（給与等）額　算出表</t>
    <rPh sb="3" eb="5">
      <t>ショトク</t>
    </rPh>
    <rPh sb="5" eb="7">
      <t>キンガク</t>
    </rPh>
    <rPh sb="7" eb="9">
      <t>チョウセイ</t>
    </rPh>
    <rPh sb="9" eb="11">
      <t>コウジョ</t>
    </rPh>
    <rPh sb="12" eb="14">
      <t>キュウヨ</t>
    </rPh>
    <rPh sb="14" eb="15">
      <t>トウ</t>
    </rPh>
    <rPh sb="16" eb="17">
      <t>ガク</t>
    </rPh>
    <rPh sb="18" eb="20">
      <t>サンシュツ</t>
    </rPh>
    <rPh sb="20" eb="21">
      <t>ヒョウ</t>
    </rPh>
    <phoneticPr fontId="2"/>
  </si>
  <si>
    <t>１．給与所得計算</t>
    <rPh sb="2" eb="4">
      <t>キュウヨ</t>
    </rPh>
    <rPh sb="4" eb="6">
      <t>ショトク</t>
    </rPh>
    <rPh sb="6" eb="8">
      <t>ケイサン</t>
    </rPh>
    <phoneticPr fontId="2"/>
  </si>
  <si>
    <t>２．所得金額調整控除（給与等）額　算出表</t>
    <rPh sb="11" eb="13">
      <t>キュウヨ</t>
    </rPh>
    <rPh sb="13" eb="14">
      <t>トウ</t>
    </rPh>
    <phoneticPr fontId="2"/>
  </si>
  <si>
    <t>・給与等の収入金額が８５０万円を超え次のアからウのいずれかに該当する場合</t>
    <rPh sb="1" eb="3">
      <t>キュウヨ</t>
    </rPh>
    <rPh sb="3" eb="4">
      <t>トウ</t>
    </rPh>
    <rPh sb="5" eb="7">
      <t>シュウニュウ</t>
    </rPh>
    <rPh sb="7" eb="9">
      <t>キンガク</t>
    </rPh>
    <rPh sb="13" eb="15">
      <t>マンエン</t>
    </rPh>
    <rPh sb="16" eb="17">
      <t>コ</t>
    </rPh>
    <rPh sb="18" eb="19">
      <t>ツギ</t>
    </rPh>
    <rPh sb="30" eb="32">
      <t>ガイトウ</t>
    </rPh>
    <rPh sb="34" eb="36">
      <t>バアイ</t>
    </rPh>
    <phoneticPr fontId="2"/>
  </si>
  <si>
    <t>ア．本人が特別障がい者に該当する</t>
    <rPh sb="2" eb="4">
      <t>ホンニン</t>
    </rPh>
    <rPh sb="5" eb="7">
      <t>トクベツ</t>
    </rPh>
    <rPh sb="7" eb="8">
      <t>ショウ</t>
    </rPh>
    <rPh sb="10" eb="11">
      <t>シャ</t>
    </rPh>
    <rPh sb="12" eb="14">
      <t>ガイトウ</t>
    </rPh>
    <phoneticPr fontId="2"/>
  </si>
  <si>
    <t>イ．年齢２３歳未満の扶養親族を有する</t>
    <rPh sb="2" eb="4">
      <t>ネンレイ</t>
    </rPh>
    <rPh sb="6" eb="7">
      <t>サイ</t>
    </rPh>
    <rPh sb="7" eb="9">
      <t>ミマン</t>
    </rPh>
    <rPh sb="10" eb="12">
      <t>フヨウ</t>
    </rPh>
    <rPh sb="12" eb="14">
      <t>シンゾク</t>
    </rPh>
    <rPh sb="15" eb="16">
      <t>ユウ</t>
    </rPh>
    <phoneticPr fontId="2"/>
  </si>
  <si>
    <t>給与等の収入金額（Ａ）</t>
    <rPh sb="0" eb="2">
      <t>キュウヨ</t>
    </rPh>
    <rPh sb="2" eb="3">
      <t>トウ</t>
    </rPh>
    <rPh sb="4" eb="6">
      <t>シュウニュウ</t>
    </rPh>
    <rPh sb="6" eb="8">
      <t>キンガク</t>
    </rPh>
    <phoneticPr fontId="2"/>
  </si>
  <si>
    <t>給与所得の金額（C）</t>
  </si>
  <si>
    <t>ウ．特別障がい者である同一生計配偶者もしくは扶養親族を有する</t>
    <rPh sb="2" eb="4">
      <t>トクベツ</t>
    </rPh>
    <rPh sb="4" eb="5">
      <t>ショウ</t>
    </rPh>
    <rPh sb="7" eb="8">
      <t>シャ</t>
    </rPh>
    <rPh sb="11" eb="13">
      <t>ドウイツ</t>
    </rPh>
    <rPh sb="13" eb="15">
      <t>セイケイ</t>
    </rPh>
    <rPh sb="15" eb="18">
      <t>ハイグウシャ</t>
    </rPh>
    <rPh sb="22" eb="24">
      <t>フヨウ</t>
    </rPh>
    <rPh sb="24" eb="26">
      <t>シンゾク</t>
    </rPh>
    <rPh sb="27" eb="28">
      <t>ユウ</t>
    </rPh>
    <phoneticPr fontId="2"/>
  </si>
  <si>
    <t>～</t>
  </si>
  <si>
    <t>0円＝（C）</t>
  </si>
  <si>
    <t>給与の総額</t>
  </si>
  <si>
    <t>給与所得控除後の給与等の金額</t>
  </si>
  <si>
    <t>所得控除調整金額</t>
    <rPh sb="0" eb="2">
      <t>ショトク</t>
    </rPh>
    <rPh sb="2" eb="4">
      <t>コウジョ</t>
    </rPh>
    <rPh sb="4" eb="6">
      <t>チョウセイ</t>
    </rPh>
    <rPh sb="6" eb="8">
      <t>キンガク</t>
    </rPh>
    <phoneticPr fontId="18"/>
  </si>
  <si>
    <t>所得控除調整後の給与等の金額</t>
    <rPh sb="0" eb="2">
      <t>ショトク</t>
    </rPh>
    <rPh sb="2" eb="4">
      <t>コウジョ</t>
    </rPh>
    <rPh sb="4" eb="7">
      <t>チョウセイゴ</t>
    </rPh>
    <rPh sb="8" eb="10">
      <t>キュウヨ</t>
    </rPh>
    <rPh sb="10" eb="11">
      <t>トウ</t>
    </rPh>
    <rPh sb="12" eb="14">
      <t>キンガク</t>
    </rPh>
    <phoneticPr fontId="18"/>
  </si>
  <si>
    <t>①：（A）÷４（千円未満切捨て）＝（B）　⇒　②：（B）×2.8－80,000円＝（C）</t>
    <phoneticPr fontId="2"/>
  </si>
  <si>
    <t>①：（A）÷４（千円未満切捨て）＝（B）　⇒　②：（B）×3.2－440,000円＝（C）</t>
    <phoneticPr fontId="2"/>
  </si>
  <si>
    <t>（A）× 90％－1,100,000円＝（C）</t>
    <phoneticPr fontId="2"/>
  </si>
  <si>
    <t>～</t>
    <phoneticPr fontId="2"/>
  </si>
  <si>
    <t>（A）－1,950,000円＝（C）</t>
    <phoneticPr fontId="2"/>
  </si>
  <si>
    <t>所得金額調整控除額の対象給与収入</t>
    <rPh sb="0" eb="2">
      <t>ショトク</t>
    </rPh>
    <rPh sb="2" eb="4">
      <t>キンガク</t>
    </rPh>
    <rPh sb="4" eb="6">
      <t>チョウセイ</t>
    </rPh>
    <rPh sb="6" eb="8">
      <t>コウジョ</t>
    </rPh>
    <rPh sb="8" eb="9">
      <t>ガク</t>
    </rPh>
    <rPh sb="10" eb="12">
      <t>タイショウ</t>
    </rPh>
    <rPh sb="12" eb="14">
      <t>キュウヨ</t>
    </rPh>
    <rPh sb="14" eb="16">
      <t>シュウニュウ</t>
    </rPh>
    <phoneticPr fontId="18"/>
  </si>
  <si>
    <t>判定用収入</t>
    <rPh sb="0" eb="3">
      <t>ハンテイヨウ</t>
    </rPh>
    <rPh sb="3" eb="5">
      <t>シュウニュウ</t>
    </rPh>
    <phoneticPr fontId="18"/>
  </si>
  <si>
    <t>給与収入</t>
    <rPh sb="0" eb="2">
      <t>キュウヨ</t>
    </rPh>
    <rPh sb="2" eb="4">
      <t>シュウニュウ</t>
    </rPh>
    <phoneticPr fontId="18"/>
  </si>
  <si>
    <t>控除額</t>
    <rPh sb="0" eb="2">
      <t>コウジョ</t>
    </rPh>
    <rPh sb="2" eb="3">
      <t>ガク</t>
    </rPh>
    <phoneticPr fontId="18"/>
  </si>
  <si>
    <t>8,500,000万円以上10,000,000万円以下</t>
    <rPh sb="9" eb="11">
      <t>マンエン</t>
    </rPh>
    <rPh sb="11" eb="13">
      <t>イジョウ</t>
    </rPh>
    <rPh sb="23" eb="25">
      <t>マンエン</t>
    </rPh>
    <rPh sb="25" eb="27">
      <t>イカ</t>
    </rPh>
    <phoneticPr fontId="18"/>
  </si>
  <si>
    <t>10,000,000万超</t>
    <rPh sb="10" eb="11">
      <t>マン</t>
    </rPh>
    <rPh sb="11" eb="12">
      <t>チョウ</t>
    </rPh>
    <phoneticPr fontId="18"/>
  </si>
  <si>
    <t>年間所得</t>
    <rPh sb="0" eb="2">
      <t>ネンカン</t>
    </rPh>
    <rPh sb="2" eb="4">
      <t>ショトク</t>
    </rPh>
    <phoneticPr fontId="2"/>
  </si>
  <si>
    <t>最大値</t>
    <rPh sb="0" eb="3">
      <t>サイダイチ</t>
    </rPh>
    <phoneticPr fontId="2"/>
  </si>
  <si>
    <t>（１）所得金額調整控除（給与等）額　算出表</t>
    <rPh sb="12" eb="14">
      <t>キュウヨ</t>
    </rPh>
    <rPh sb="14" eb="15">
      <t>トウ</t>
    </rPh>
    <phoneticPr fontId="2"/>
  </si>
  <si>
    <t>１．給与等の収入金額が８５０万円を超え次のアからウのいずれかに該当する場合</t>
    <rPh sb="2" eb="4">
      <t>キュウヨ</t>
    </rPh>
    <rPh sb="4" eb="5">
      <t>トウ</t>
    </rPh>
    <rPh sb="6" eb="8">
      <t>シュウニュウ</t>
    </rPh>
    <rPh sb="8" eb="10">
      <t>キンガク</t>
    </rPh>
    <rPh sb="14" eb="16">
      <t>マンエン</t>
    </rPh>
    <rPh sb="17" eb="18">
      <t>コ</t>
    </rPh>
    <rPh sb="19" eb="20">
      <t>ツギ</t>
    </rPh>
    <rPh sb="31" eb="33">
      <t>ガイトウ</t>
    </rPh>
    <rPh sb="35" eb="37">
      <t>バアイ</t>
    </rPh>
    <phoneticPr fontId="2"/>
  </si>
  <si>
    <t>（２）所得金額調整控除（年金等）額　算出表</t>
    <phoneticPr fontId="2"/>
  </si>
  <si>
    <t>２．公的年金等に係る雑所得</t>
    <rPh sb="2" eb="4">
      <t>コウテキ</t>
    </rPh>
    <rPh sb="4" eb="6">
      <t>ネンキン</t>
    </rPh>
    <rPh sb="6" eb="7">
      <t>トウ</t>
    </rPh>
    <rPh sb="8" eb="9">
      <t>カカ</t>
    </rPh>
    <rPh sb="10" eb="13">
      <t>ザツショトク</t>
    </rPh>
    <phoneticPr fontId="2"/>
  </si>
  <si>
    <t>その年中の公的年金等の収入（見積額）</t>
    <rPh sb="2" eb="3">
      <t>トシ</t>
    </rPh>
    <rPh sb="3" eb="4">
      <t>ジュウ</t>
    </rPh>
    <rPh sb="5" eb="7">
      <t>コウテキ</t>
    </rPh>
    <rPh sb="7" eb="9">
      <t>ネンキン</t>
    </rPh>
    <rPh sb="9" eb="10">
      <t>トウ</t>
    </rPh>
    <rPh sb="11" eb="13">
      <t>シュウニュウ</t>
    </rPh>
    <rPh sb="14" eb="16">
      <t>ミツモ</t>
    </rPh>
    <rPh sb="16" eb="17">
      <t>ガク</t>
    </rPh>
    <phoneticPr fontId="2"/>
  </si>
  <si>
    <t>年齢（翌年１月１日現在の年齢）</t>
    <rPh sb="0" eb="2">
      <t>ネンレイ</t>
    </rPh>
    <phoneticPr fontId="2"/>
  </si>
  <si>
    <t>公的年金等に係る雑所得以外の所得に係る合計所得金額</t>
    <phoneticPr fontId="2"/>
  </si>
  <si>
    <t>64歳以下</t>
    <rPh sb="2" eb="3">
      <t>サイ</t>
    </rPh>
    <rPh sb="3" eb="5">
      <t>イカ</t>
    </rPh>
    <phoneticPr fontId="2"/>
  </si>
  <si>
    <t>1,000万円超2,000万円以下</t>
    <rPh sb="5" eb="7">
      <t>マンエン</t>
    </rPh>
    <rPh sb="7" eb="8">
      <t>チョウ</t>
    </rPh>
    <rPh sb="13" eb="15">
      <t>マンエン</t>
    </rPh>
    <rPh sb="15" eb="17">
      <t>イカ</t>
    </rPh>
    <phoneticPr fontId="2"/>
  </si>
  <si>
    <t>2,000万円超</t>
    <rPh sb="5" eb="7">
      <t>マンエン</t>
    </rPh>
    <rPh sb="7" eb="8">
      <t>チョウ</t>
    </rPh>
    <phoneticPr fontId="2"/>
  </si>
  <si>
    <t>　（公的年金等控除額）</t>
  </si>
  <si>
    <t>受給者の区分</t>
    <rPh sb="0" eb="3">
      <t>ジュキュウシャ</t>
    </rPh>
    <rPh sb="4" eb="6">
      <t>クブン</t>
    </rPh>
    <phoneticPr fontId="2"/>
  </si>
  <si>
    <t>受給者の区分その年中の
公的年金等の収入金額（A）</t>
    <phoneticPr fontId="2"/>
  </si>
  <si>
    <t>控除額</t>
    <rPh sb="0" eb="2">
      <t>コウジョ</t>
    </rPh>
    <rPh sb="2" eb="3">
      <t>ガク</t>
    </rPh>
    <phoneticPr fontId="2"/>
  </si>
  <si>
    <t>110万円</t>
    <phoneticPr fontId="2"/>
  </si>
  <si>
    <t>100万円</t>
    <phoneticPr fontId="2"/>
  </si>
  <si>
    <t>90万円</t>
    <phoneticPr fontId="2"/>
  </si>
  <si>
    <t>～</t>
    <phoneticPr fontId="2"/>
  </si>
  <si>
    <t>（A）×25％＋ 27万5,000円</t>
    <phoneticPr fontId="2"/>
  </si>
  <si>
    <t>～</t>
    <phoneticPr fontId="2"/>
  </si>
  <si>
    <t>（A）×25％＋ 17万5,000円</t>
    <phoneticPr fontId="2"/>
  </si>
  <si>
    <t>～</t>
    <phoneticPr fontId="2"/>
  </si>
  <si>
    <t>（A）×25％＋ 7万5,000円</t>
    <phoneticPr fontId="2"/>
  </si>
  <si>
    <t>（A）×15％＋ 68万5,000円</t>
    <phoneticPr fontId="2"/>
  </si>
  <si>
    <t>～</t>
    <phoneticPr fontId="2"/>
  </si>
  <si>
    <t>（A）×15％＋ 58万5,000円</t>
    <phoneticPr fontId="2"/>
  </si>
  <si>
    <t>（A）×15％＋ 48万5,000円</t>
    <phoneticPr fontId="2"/>
  </si>
  <si>
    <t>（A）× 5％＋145万5,000円</t>
    <phoneticPr fontId="2"/>
  </si>
  <si>
    <t>～</t>
    <phoneticPr fontId="2"/>
  </si>
  <si>
    <t>（A）× 5％＋135万5,000円</t>
    <phoneticPr fontId="2"/>
  </si>
  <si>
    <t>（A）× 5％＋125万5,000円</t>
    <phoneticPr fontId="2"/>
  </si>
  <si>
    <t>195万5,000円</t>
    <rPh sb="9" eb="10">
      <t>エン</t>
    </rPh>
    <phoneticPr fontId="2"/>
  </si>
  <si>
    <t>～</t>
    <phoneticPr fontId="2"/>
  </si>
  <si>
    <t>185万5,000円</t>
    <rPh sb="9" eb="10">
      <t>エン</t>
    </rPh>
    <phoneticPr fontId="2"/>
  </si>
  <si>
    <t>～</t>
    <phoneticPr fontId="2"/>
  </si>
  <si>
    <t>175万5,000円</t>
    <rPh sb="9" eb="10">
      <t>エン</t>
    </rPh>
    <phoneticPr fontId="2"/>
  </si>
  <si>
    <t>60万円</t>
    <phoneticPr fontId="2"/>
  </si>
  <si>
    <t>～</t>
    <phoneticPr fontId="2"/>
  </si>
  <si>
    <t>50万円</t>
    <phoneticPr fontId="2"/>
  </si>
  <si>
    <t>40万円</t>
    <phoneticPr fontId="2"/>
  </si>
  <si>
    <t>（A）×25％＋ 27万5,000円</t>
    <phoneticPr fontId="2"/>
  </si>
  <si>
    <t>（A）×25％＋ 17万5,000円</t>
    <phoneticPr fontId="2"/>
  </si>
  <si>
    <t>～</t>
    <phoneticPr fontId="2"/>
  </si>
  <si>
    <t>（A）×15％＋ 68万5,000円</t>
    <phoneticPr fontId="2"/>
  </si>
  <si>
    <t>（A）×15％＋ 58万5,000円</t>
    <phoneticPr fontId="2"/>
  </si>
  <si>
    <t>（A）× 5％＋145万5,000円</t>
    <phoneticPr fontId="2"/>
  </si>
  <si>
    <t>（A）× 5％＋135万5,000円</t>
    <phoneticPr fontId="2"/>
  </si>
  <si>
    <t>（A）× 5％＋125万5,000円</t>
    <phoneticPr fontId="2"/>
  </si>
  <si>
    <t>～</t>
    <phoneticPr fontId="2"/>
  </si>
  <si>
    <t>【雑所得】</t>
    <phoneticPr fontId="2"/>
  </si>
  <si>
    <t>　原稿料や印税、講演料、放送出演料、貸金の利子、生命保険契約等に基づく年金など他のいずれの所得にも該当しない</t>
    <phoneticPr fontId="2"/>
  </si>
  <si>
    <t>所得や恩給（一時恩給を除きます。）、国民年金、厚生年金、共済年金などの公的年金等は、雑所得となります。</t>
  </si>
  <si>
    <t>公的年金等に係る雑所得：収入金額から公的年金等控除額を控除した残額</t>
    <phoneticPr fontId="2"/>
  </si>
  <si>
    <t>公的年金等控除額</t>
    <rPh sb="0" eb="2">
      <t>コウテキ</t>
    </rPh>
    <rPh sb="2" eb="4">
      <t>ネンキン</t>
    </rPh>
    <rPh sb="4" eb="5">
      <t>トウ</t>
    </rPh>
    <rPh sb="5" eb="7">
      <t>コウジョ</t>
    </rPh>
    <rPh sb="7" eb="8">
      <t>ガク</t>
    </rPh>
    <phoneticPr fontId="2"/>
  </si>
  <si>
    <t>公的年金等に
係る雑所得の金額</t>
    <rPh sb="0" eb="2">
      <t>コウテキ</t>
    </rPh>
    <rPh sb="2" eb="4">
      <t>ネンキン</t>
    </rPh>
    <rPh sb="4" eb="5">
      <t>トウ</t>
    </rPh>
    <rPh sb="7" eb="8">
      <t>カカ</t>
    </rPh>
    <rPh sb="9" eb="12">
      <t>ザツショトク</t>
    </rPh>
    <rPh sb="13" eb="15">
      <t>キンガク</t>
    </rPh>
    <phoneticPr fontId="2"/>
  </si>
  <si>
    <t>３．所得金額調整控除額（年金等）</t>
    <rPh sb="10" eb="11">
      <t>ガク</t>
    </rPh>
    <phoneticPr fontId="2"/>
  </si>
  <si>
    <t>給与所得</t>
    <rPh sb="0" eb="2">
      <t>キュウヨ</t>
    </rPh>
    <rPh sb="2" eb="4">
      <t>ショトク</t>
    </rPh>
    <phoneticPr fontId="2"/>
  </si>
  <si>
    <t xml:space="preserve">・給与等の収入金額が８５０万円を超え次のアからウのいずれかに該当する場合
ア．本人が特別障がい者に該当する
イ．年齢２３歳未満の扶養親族を有する
ウ．特別障がい者である同一生計配偶者もしくは扶養親族を有する
</t>
    <phoneticPr fontId="2"/>
  </si>
  <si>
    <t>該当</t>
    <rPh sb="0" eb="2">
      <t>ガイトウ</t>
    </rPh>
    <phoneticPr fontId="2"/>
  </si>
  <si>
    <t>非該当</t>
    <rPh sb="0" eb="3">
      <t>ヒガイトウ</t>
    </rPh>
    <phoneticPr fontId="2"/>
  </si>
  <si>
    <t>～３９歳</t>
    <rPh sb="3" eb="4">
      <t>サイ</t>
    </rPh>
    <phoneticPr fontId="2"/>
  </si>
  <si>
    <t>４０歳～６４歳</t>
    <rPh sb="2" eb="3">
      <t>サイ</t>
    </rPh>
    <rPh sb="6" eb="7">
      <t>サイ</t>
    </rPh>
    <phoneticPr fontId="2"/>
  </si>
  <si>
    <t>６５歳～</t>
    <rPh sb="2" eb="3">
      <t>サイ</t>
    </rPh>
    <phoneticPr fontId="2"/>
  </si>
  <si>
    <t>年齢</t>
    <rPh sb="0" eb="2">
      <t>ネンレイ</t>
    </rPh>
    <phoneticPr fontId="2"/>
  </si>
  <si>
    <t>区分</t>
    <rPh sb="0" eb="2">
      <t>クブン</t>
    </rPh>
    <phoneticPr fontId="2"/>
  </si>
  <si>
    <t>給与所得</t>
    <rPh sb="0" eb="2">
      <t>キュウヨ</t>
    </rPh>
    <rPh sb="2" eb="4">
      <t>ショトク</t>
    </rPh>
    <phoneticPr fontId="2"/>
  </si>
  <si>
    <t>その他所得</t>
    <rPh sb="2" eb="3">
      <t>タ</t>
    </rPh>
    <rPh sb="3" eb="5">
      <t>ショトク</t>
    </rPh>
    <phoneticPr fontId="2"/>
  </si>
  <si>
    <t>　　 営業等の所得については、その他所得に入力します。</t>
    <rPh sb="3" eb="5">
      <t>エイギョウ</t>
    </rPh>
    <rPh sb="5" eb="6">
      <t>トウ</t>
    </rPh>
    <rPh sb="7" eb="9">
      <t>ショトク</t>
    </rPh>
    <rPh sb="17" eb="18">
      <t>タ</t>
    </rPh>
    <rPh sb="18" eb="20">
      <t>ショトク</t>
    </rPh>
    <rPh sb="21" eb="23">
      <t>ニュウリョク</t>
    </rPh>
    <phoneticPr fontId="2"/>
  </si>
  <si>
    <t>１、２を入力することで、給与所得および年金所得が「４」に記載されます</t>
    <rPh sb="4" eb="6">
      <t>ニュウリョク</t>
    </rPh>
    <rPh sb="12" eb="14">
      <t>キュウヨ</t>
    </rPh>
    <rPh sb="14" eb="16">
      <t>ショトク</t>
    </rPh>
    <rPh sb="19" eb="23">
      <t>ネンキンショトク</t>
    </rPh>
    <rPh sb="28" eb="30">
      <t>キサイ</t>
    </rPh>
    <phoneticPr fontId="2"/>
  </si>
  <si>
    <t>入力箇所</t>
    <rPh sb="0" eb="2">
      <t>ニュウリョク</t>
    </rPh>
    <rPh sb="2" eb="4">
      <t>カショ</t>
    </rPh>
    <phoneticPr fontId="2"/>
  </si>
  <si>
    <t>給与所得・年金所得出力箇所</t>
    <rPh sb="0" eb="2">
      <t>キュウヨ</t>
    </rPh>
    <rPh sb="2" eb="4">
      <t>ショトク</t>
    </rPh>
    <rPh sb="5" eb="7">
      <t>ネンキン</t>
    </rPh>
    <rPh sb="7" eb="9">
      <t>ショトク</t>
    </rPh>
    <rPh sb="9" eb="11">
      <t>シュツリョク</t>
    </rPh>
    <rPh sb="11" eb="13">
      <t>カショ</t>
    </rPh>
    <phoneticPr fontId="2"/>
  </si>
  <si>
    <t>２．入力項目【所得金額調整控除額（１．給与等）】</t>
    <rPh sb="2" eb="4">
      <t>ニュウリョク</t>
    </rPh>
    <rPh sb="4" eb="6">
      <t>コウモク</t>
    </rPh>
    <rPh sb="7" eb="9">
      <t>ショトク</t>
    </rPh>
    <rPh sb="9" eb="11">
      <t>キンガク</t>
    </rPh>
    <rPh sb="11" eb="13">
      <t>チョウセイ</t>
    </rPh>
    <rPh sb="13" eb="15">
      <t>コウジョ</t>
    </rPh>
    <rPh sb="15" eb="16">
      <t>ガク</t>
    </rPh>
    <rPh sb="19" eb="21">
      <t>キュウヨ</t>
    </rPh>
    <rPh sb="21" eb="22">
      <t>トウ</t>
    </rPh>
    <phoneticPr fontId="2"/>
  </si>
  <si>
    <t>１．入力項目【給与収入・年金収入】</t>
    <rPh sb="2" eb="4">
      <t>ニュウリョク</t>
    </rPh>
    <rPh sb="4" eb="6">
      <t>コウモク</t>
    </rPh>
    <rPh sb="7" eb="9">
      <t>キュウヨ</t>
    </rPh>
    <rPh sb="9" eb="11">
      <t>シュウニュウ</t>
    </rPh>
    <rPh sb="12" eb="14">
      <t>ネンキン</t>
    </rPh>
    <rPh sb="14" eb="16">
      <t>シュウニュウ</t>
    </rPh>
    <phoneticPr fontId="2"/>
  </si>
  <si>
    <t>合計</t>
    <rPh sb="0" eb="2">
      <t>ゴウケイ</t>
    </rPh>
    <phoneticPr fontId="2"/>
  </si>
  <si>
    <t>判定用所得</t>
    <rPh sb="0" eb="2">
      <t>ハンテイ</t>
    </rPh>
    <rPh sb="2" eb="3">
      <t>ヨウ</t>
    </rPh>
    <rPh sb="3" eb="5">
      <t>ショトク</t>
    </rPh>
    <phoneticPr fontId="2"/>
  </si>
  <si>
    <t>※１に該当する者</t>
    <rPh sb="3" eb="5">
      <t>ガイトウ</t>
    </rPh>
    <rPh sb="7" eb="8">
      <t>モノ</t>
    </rPh>
    <phoneticPr fontId="2"/>
  </si>
  <si>
    <t>該当</t>
    <rPh sb="0" eb="2">
      <t>ガイトウ</t>
    </rPh>
    <phoneticPr fontId="2"/>
  </si>
  <si>
    <t>非該当</t>
    <rPh sb="0" eb="3">
      <t>ヒガイトウ</t>
    </rPh>
    <phoneticPr fontId="2"/>
  </si>
  <si>
    <t>①　上尾市国民健康保険に加入される方の年齢区分を選択します。</t>
    <rPh sb="2" eb="5">
      <t>アゲオシ</t>
    </rPh>
    <rPh sb="5" eb="7">
      <t>コクミン</t>
    </rPh>
    <rPh sb="7" eb="9">
      <t>ケンコウ</t>
    </rPh>
    <rPh sb="9" eb="11">
      <t>ホケン</t>
    </rPh>
    <rPh sb="12" eb="14">
      <t>カニュウ</t>
    </rPh>
    <rPh sb="17" eb="18">
      <t>カタ</t>
    </rPh>
    <rPh sb="19" eb="21">
      <t>ネンレイ</t>
    </rPh>
    <rPh sb="21" eb="23">
      <t>クブン</t>
    </rPh>
    <rPh sb="24" eb="26">
      <t>センタク</t>
    </rPh>
    <phoneticPr fontId="2"/>
  </si>
  <si>
    <t>②　加入される方の給与収入・年金収入・その他所得を入力します。</t>
    <rPh sb="2" eb="4">
      <t>カニュウ</t>
    </rPh>
    <rPh sb="7" eb="8">
      <t>カタ</t>
    </rPh>
    <rPh sb="9" eb="11">
      <t>キュウヨ</t>
    </rPh>
    <rPh sb="11" eb="13">
      <t>シュウニュウ</t>
    </rPh>
    <rPh sb="14" eb="16">
      <t>ネンキン</t>
    </rPh>
    <rPh sb="16" eb="18">
      <t>シュウニュウ</t>
    </rPh>
    <rPh sb="21" eb="22">
      <t>タ</t>
    </rPh>
    <rPh sb="22" eb="24">
      <t>ショトク</t>
    </rPh>
    <rPh sb="25" eb="27">
      <t>ニュウリョク</t>
    </rPh>
    <phoneticPr fontId="2"/>
  </si>
  <si>
    <t xml:space="preserve"> 確定申告をした方は所得合計額を「その他所得」に入力します。</t>
    <rPh sb="1" eb="3">
      <t>カクテイ</t>
    </rPh>
    <rPh sb="3" eb="5">
      <t>シンコク</t>
    </rPh>
    <rPh sb="8" eb="9">
      <t>カタ</t>
    </rPh>
    <rPh sb="10" eb="12">
      <t>ショトク</t>
    </rPh>
    <rPh sb="12" eb="14">
      <t>ゴウケイ</t>
    </rPh>
    <rPh sb="14" eb="15">
      <t>ガク</t>
    </rPh>
    <rPh sb="19" eb="20">
      <t>タ</t>
    </rPh>
    <rPh sb="20" eb="22">
      <t>ショトク</t>
    </rPh>
    <rPh sb="24" eb="26">
      <t>ニュウリョク</t>
    </rPh>
    <phoneticPr fontId="2"/>
  </si>
  <si>
    <t>　円</t>
    <rPh sb="1" eb="2">
      <t>エン</t>
    </rPh>
    <phoneticPr fontId="2"/>
  </si>
  <si>
    <t>給与</t>
    <rPh sb="0" eb="2">
      <t>キュウヨ</t>
    </rPh>
    <phoneticPr fontId="2"/>
  </si>
  <si>
    <t>年金（64↓）</t>
    <rPh sb="0" eb="2">
      <t>ネンキン</t>
    </rPh>
    <phoneticPr fontId="2"/>
  </si>
  <si>
    <t>軽減判定所得</t>
    <rPh sb="0" eb="2">
      <t>ケイゲン</t>
    </rPh>
    <rPh sb="2" eb="4">
      <t>ハンテイ</t>
    </rPh>
    <rPh sb="4" eb="6">
      <t>ショトク</t>
    </rPh>
    <phoneticPr fontId="2"/>
  </si>
  <si>
    <t>軽減判定</t>
    <rPh sb="0" eb="2">
      <t>ケイゲン</t>
    </rPh>
    <rPh sb="2" eb="4">
      <t>ハンテイ</t>
    </rPh>
    <phoneticPr fontId="2"/>
  </si>
  <si>
    <t>被保険者数</t>
    <rPh sb="0" eb="4">
      <t>ヒホケンシャ</t>
    </rPh>
    <rPh sb="4" eb="5">
      <t>スウ</t>
    </rPh>
    <phoneticPr fontId="2"/>
  </si>
  <si>
    <t>２割軽減</t>
    <rPh sb="1" eb="2">
      <t>ワリ</t>
    </rPh>
    <rPh sb="2" eb="4">
      <t>ケイゲン</t>
    </rPh>
    <phoneticPr fontId="2"/>
  </si>
  <si>
    <t>５割軽減</t>
    <rPh sb="1" eb="2">
      <t>ワリ</t>
    </rPh>
    <rPh sb="2" eb="4">
      <t>ケイゲン</t>
    </rPh>
    <phoneticPr fontId="2"/>
  </si>
  <si>
    <t>７割軽減</t>
    <rPh sb="1" eb="2">
      <t>ワリ</t>
    </rPh>
    <rPh sb="2" eb="4">
      <t>ケイゲン</t>
    </rPh>
    <phoneticPr fontId="2"/>
  </si>
  <si>
    <t>1人</t>
    <rPh sb="0" eb="2">
      <t>ヒトリ</t>
    </rPh>
    <phoneticPr fontId="2"/>
  </si>
  <si>
    <t>円以下</t>
    <rPh sb="0" eb="1">
      <t>エン</t>
    </rPh>
    <rPh sb="1" eb="3">
      <t>イカ</t>
    </rPh>
    <phoneticPr fontId="2"/>
  </si>
  <si>
    <t>加入者数</t>
    <rPh sb="0" eb="3">
      <t>カニュウシャ</t>
    </rPh>
    <rPh sb="3" eb="4">
      <t>スウ</t>
    </rPh>
    <phoneticPr fontId="2"/>
  </si>
  <si>
    <t>2人</t>
    <rPh sb="0" eb="2">
      <t>フタリ</t>
    </rPh>
    <phoneticPr fontId="2"/>
  </si>
  <si>
    <t>3人</t>
    <rPh sb="0" eb="2">
      <t>ヒトリ</t>
    </rPh>
    <phoneticPr fontId="2"/>
  </si>
  <si>
    <t>4人</t>
    <rPh sb="0" eb="2">
      <t>フタリ</t>
    </rPh>
    <phoneticPr fontId="2"/>
  </si>
  <si>
    <t>5人</t>
    <rPh sb="0" eb="2">
      <t>ヒトリ</t>
    </rPh>
    <phoneticPr fontId="2"/>
  </si>
  <si>
    <t>6人</t>
    <rPh sb="0" eb="2">
      <t>フタリ</t>
    </rPh>
    <phoneticPr fontId="2"/>
  </si>
  <si>
    <t>7人</t>
    <rPh sb="0" eb="2">
      <t>ヒトリ</t>
    </rPh>
    <phoneticPr fontId="2"/>
  </si>
  <si>
    <t>1人増すごとに</t>
    <rPh sb="0" eb="2">
      <t>ヒトリ</t>
    </rPh>
    <rPh sb="2" eb="3">
      <t>マ</t>
    </rPh>
    <phoneticPr fontId="2"/>
  </si>
  <si>
    <t>円加算</t>
    <rPh sb="0" eb="1">
      <t>エン</t>
    </rPh>
    <rPh sb="1" eb="3">
      <t>カサン</t>
    </rPh>
    <phoneticPr fontId="2"/>
  </si>
  <si>
    <t>加算なし</t>
    <rPh sb="0" eb="2">
      <t>カサン</t>
    </rPh>
    <phoneticPr fontId="2"/>
  </si>
  <si>
    <t>430,000円以下</t>
    <rPh sb="7" eb="10">
      <t>エンイカ</t>
    </rPh>
    <phoneticPr fontId="2"/>
  </si>
  <si>
    <t>年金収入（64以下）</t>
    <rPh sb="0" eb="2">
      <t>ネンキン</t>
    </rPh>
    <rPh sb="2" eb="4">
      <t>シュウニュウ</t>
    </rPh>
    <rPh sb="7" eb="9">
      <t>イカ</t>
    </rPh>
    <phoneticPr fontId="2"/>
  </si>
  <si>
    <t>年金収入（65以上）</t>
    <rPh sb="0" eb="2">
      <t>ネンキン</t>
    </rPh>
    <rPh sb="2" eb="4">
      <t>シュウニュウ</t>
    </rPh>
    <rPh sb="7" eb="9">
      <t>イジョウ</t>
    </rPh>
    <phoneticPr fontId="2"/>
  </si>
  <si>
    <t>給与収入</t>
    <rPh sb="0" eb="2">
      <t>キュウヨ</t>
    </rPh>
    <rPh sb="2" eb="4">
      <t>シュウニュウ</t>
    </rPh>
    <phoneticPr fontId="2"/>
  </si>
  <si>
    <t>新軽減判定対象人数</t>
    <rPh sb="0" eb="1">
      <t>シン</t>
    </rPh>
    <rPh sb="1" eb="3">
      <t>ケイゲン</t>
    </rPh>
    <rPh sb="3" eb="5">
      <t>ハンテイ</t>
    </rPh>
    <rPh sb="5" eb="7">
      <t>タイショウ</t>
    </rPh>
    <rPh sb="7" eb="9">
      <t>ニンズウ</t>
    </rPh>
    <phoneticPr fontId="2"/>
  </si>
  <si>
    <t>計算式</t>
    <rPh sb="0" eb="2">
      <t>ケイサン</t>
    </rPh>
    <rPh sb="2" eb="3">
      <t>シキ</t>
    </rPh>
    <phoneticPr fontId="2"/>
  </si>
  <si>
    <t>給与所得者等の数</t>
    <rPh sb="0" eb="2">
      <t>キュウヨ</t>
    </rPh>
    <rPh sb="2" eb="4">
      <t>ショトク</t>
    </rPh>
    <rPh sb="4" eb="5">
      <t>シャ</t>
    </rPh>
    <rPh sb="5" eb="6">
      <t>トウ</t>
    </rPh>
    <rPh sb="7" eb="8">
      <t>カズ</t>
    </rPh>
    <phoneticPr fontId="2"/>
  </si>
  <si>
    <t>＝</t>
    <phoneticPr fontId="2"/>
  </si>
  <si>
    <t>軽減判定対象</t>
    <rPh sb="0" eb="2">
      <t>ケイゲン</t>
    </rPh>
    <rPh sb="2" eb="4">
      <t>ハンテイ</t>
    </rPh>
    <rPh sb="4" eb="6">
      <t>タイショウ</t>
    </rPh>
    <phoneticPr fontId="2"/>
  </si>
  <si>
    <t>－</t>
    <phoneticPr fontId="2"/>
  </si>
  <si>
    <t>*</t>
    <phoneticPr fontId="2"/>
  </si>
  <si>
    <t>∴</t>
    <phoneticPr fontId="2"/>
  </si>
  <si>
    <t>軽減用</t>
    <rPh sb="0" eb="2">
      <t>ケイゲン</t>
    </rPh>
    <rPh sb="2" eb="3">
      <t>ヨウ</t>
    </rPh>
    <phoneticPr fontId="2"/>
  </si>
  <si>
    <t>６５歳以上</t>
    <rPh sb="2" eb="3">
      <t>サイ</t>
    </rPh>
    <rPh sb="3" eb="5">
      <t>イジョウ</t>
    </rPh>
    <phoneticPr fontId="2"/>
  </si>
  <si>
    <t>年金所得</t>
    <rPh sb="0" eb="2">
      <t>ネンキン</t>
    </rPh>
    <rPh sb="2" eb="4">
      <t>ショトク</t>
    </rPh>
    <phoneticPr fontId="2"/>
  </si>
  <si>
    <t>年金（65以上）</t>
    <rPh sb="0" eb="2">
      <t>ネンキン</t>
    </rPh>
    <rPh sb="5" eb="7">
      <t>イジョウ</t>
    </rPh>
    <phoneticPr fontId="2"/>
  </si>
  <si>
    <t>年金（65↑）</t>
    <rPh sb="0" eb="2">
      <t>ネンキン</t>
    </rPh>
    <phoneticPr fontId="2"/>
  </si>
  <si>
    <t>合計</t>
    <rPh sb="0" eb="2">
      <t>ゴウケイ</t>
    </rPh>
    <phoneticPr fontId="2"/>
  </si>
  <si>
    <t>最大値</t>
    <rPh sb="0" eb="2">
      <t>サイダイ</t>
    </rPh>
    <rPh sb="2" eb="3">
      <t>チ</t>
    </rPh>
    <phoneticPr fontId="2"/>
  </si>
  <si>
    <t>軽減</t>
    <rPh sb="0" eb="2">
      <t>ケイゲン</t>
    </rPh>
    <phoneticPr fontId="2"/>
  </si>
  <si>
    <t>合計</t>
    <rPh sb="0" eb="2">
      <t>ゴウケイ</t>
    </rPh>
    <phoneticPr fontId="2"/>
  </si>
  <si>
    <t>軽減判定基準見直し対象者数</t>
  </si>
  <si>
    <t>（課税内訳）</t>
    <rPh sb="1" eb="3">
      <t>カゼイ</t>
    </rPh>
    <rPh sb="3" eb="5">
      <t>ウチワケ</t>
    </rPh>
    <phoneticPr fontId="2"/>
  </si>
  <si>
    <t>※給与収入欄に収入金額を入力された方は、下記を確認してください。年金収入・その他所得は関係ありません。</t>
    <rPh sb="1" eb="3">
      <t>キュウヨ</t>
    </rPh>
    <rPh sb="3" eb="5">
      <t>シュウニュウ</t>
    </rPh>
    <rPh sb="5" eb="6">
      <t>ラン</t>
    </rPh>
    <rPh sb="7" eb="9">
      <t>シュウニュウ</t>
    </rPh>
    <rPh sb="9" eb="11">
      <t>キンガク</t>
    </rPh>
    <rPh sb="12" eb="14">
      <t>ニュウリョク</t>
    </rPh>
    <rPh sb="17" eb="18">
      <t>カタ</t>
    </rPh>
    <rPh sb="20" eb="22">
      <t>カキ</t>
    </rPh>
    <rPh sb="23" eb="25">
      <t>カクニン</t>
    </rPh>
    <rPh sb="32" eb="34">
      <t>ネンキン</t>
    </rPh>
    <rPh sb="34" eb="36">
      <t>シュウニュウ</t>
    </rPh>
    <rPh sb="39" eb="40">
      <t>タ</t>
    </rPh>
    <rPh sb="40" eb="42">
      <t>ショトク</t>
    </rPh>
    <rPh sb="43" eb="45">
      <t>カンケイ</t>
    </rPh>
    <phoneticPr fontId="2"/>
  </si>
  <si>
    <r>
      <t xml:space="preserve">  １． </t>
    </r>
    <r>
      <rPr>
        <b/>
        <sz val="14"/>
        <color theme="1"/>
        <rFont val="ＭＳ Ｐゴシック"/>
        <family val="3"/>
        <charset val="128"/>
        <scheme val="minor"/>
      </rPr>
      <t>給与収入が８５０万円を超える方</t>
    </r>
    <r>
      <rPr>
        <sz val="14"/>
        <color theme="1"/>
        <rFont val="ＭＳ Ｐゴシック"/>
        <family val="3"/>
        <charset val="128"/>
        <scheme val="minor"/>
      </rPr>
      <t>で、下記ア～ウに該当する場合には、「１．に該当する者」で【</t>
    </r>
    <r>
      <rPr>
        <b/>
        <sz val="14"/>
        <color theme="1"/>
        <rFont val="ＭＳ Ｐゴシック"/>
        <family val="3"/>
        <charset val="128"/>
        <scheme val="minor"/>
      </rPr>
      <t>該当】</t>
    </r>
    <r>
      <rPr>
        <sz val="14"/>
        <color theme="1"/>
        <rFont val="ＭＳ Ｐゴシック"/>
        <family val="3"/>
        <charset val="128"/>
        <scheme val="minor"/>
      </rPr>
      <t>するを選択してください。</t>
    </r>
    <rPh sb="5" eb="7">
      <t>キュウヨ</t>
    </rPh>
    <rPh sb="7" eb="9">
      <t>シュウニュウ</t>
    </rPh>
    <rPh sb="13" eb="15">
      <t>マンエン</t>
    </rPh>
    <rPh sb="16" eb="17">
      <t>コ</t>
    </rPh>
    <rPh sb="19" eb="20">
      <t>カタ</t>
    </rPh>
    <rPh sb="22" eb="24">
      <t>カキ</t>
    </rPh>
    <rPh sb="28" eb="30">
      <t>ガイトウ</t>
    </rPh>
    <rPh sb="32" eb="34">
      <t>バアイ</t>
    </rPh>
    <rPh sb="41" eb="43">
      <t>ガイトウ</t>
    </rPh>
    <rPh sb="45" eb="46">
      <t>モノ</t>
    </rPh>
    <rPh sb="49" eb="51">
      <t>ガイトウ</t>
    </rPh>
    <rPh sb="55" eb="57">
      <t>センタク</t>
    </rPh>
    <phoneticPr fontId="2"/>
  </si>
  <si>
    <t>●国民健康保険税は普通徴収の場合、年８回の納期で納付となります。</t>
    <rPh sb="1" eb="7">
      <t>コクミンケンコウホケン</t>
    </rPh>
    <rPh sb="7" eb="8">
      <t>ゼイ</t>
    </rPh>
    <rPh sb="9" eb="11">
      <t>フツウ</t>
    </rPh>
    <rPh sb="11" eb="13">
      <t>チョウシュウ</t>
    </rPh>
    <rPh sb="14" eb="16">
      <t>バアイ</t>
    </rPh>
    <rPh sb="17" eb="18">
      <t>ネン</t>
    </rPh>
    <rPh sb="19" eb="20">
      <t>カイ</t>
    </rPh>
    <rPh sb="21" eb="23">
      <t>ノウキ</t>
    </rPh>
    <rPh sb="24" eb="26">
      <t>ノウフ</t>
    </rPh>
    <phoneticPr fontId="2"/>
  </si>
  <si>
    <t>●国保加入の時期によって、納期が８回より少なくなる場合があります。</t>
    <rPh sb="1" eb="3">
      <t>コクホ</t>
    </rPh>
    <phoneticPr fontId="2"/>
  </si>
  <si>
    <t>●世帯主を含む国保加入者全員が６５歳以上の場合など、一定の条件を満たすと国保税が特別徴収（年金から天引き）されます。</t>
    <rPh sb="26" eb="28">
      <t>イッテイ</t>
    </rPh>
    <rPh sb="29" eb="31">
      <t>ジョウケン</t>
    </rPh>
    <rPh sb="32" eb="33">
      <t>ミ</t>
    </rPh>
    <rPh sb="36" eb="38">
      <t>コクホ</t>
    </rPh>
    <rPh sb="38" eb="39">
      <t>ゼイ</t>
    </rPh>
    <phoneticPr fontId="2"/>
  </si>
  <si>
    <t>保護解除のPWは0487826471ageoだよー。電話番号だよー。</t>
    <rPh sb="0" eb="2">
      <t>ホゴ</t>
    </rPh>
    <rPh sb="2" eb="4">
      <t>カイジョ</t>
    </rPh>
    <rPh sb="26" eb="28">
      <t>デンワ</t>
    </rPh>
    <rPh sb="28" eb="30">
      <t>バンゴウ</t>
    </rPh>
    <phoneticPr fontId="2"/>
  </si>
  <si>
    <t>ア．本人が特別障がい者に該当する。</t>
    <phoneticPr fontId="2"/>
  </si>
  <si>
    <t>イ．年齢２３歳未満の扶養親族を有する。</t>
    <phoneticPr fontId="2"/>
  </si>
  <si>
    <t>ウ．特別障がい者である同一生計配偶者もしくは扶養親族を有する。</t>
    <phoneticPr fontId="2"/>
  </si>
  <si>
    <t>F13の金額を足せば加算含むことになります。HP用の判定は含んで自動計算してあります。</t>
    <rPh sb="4" eb="6">
      <t>キンガク</t>
    </rPh>
    <rPh sb="7" eb="8">
      <t>タ</t>
    </rPh>
    <rPh sb="10" eb="12">
      <t>カサン</t>
    </rPh>
    <rPh sb="12" eb="13">
      <t>フク</t>
    </rPh>
    <rPh sb="24" eb="25">
      <t>ヨウ</t>
    </rPh>
    <rPh sb="26" eb="28">
      <t>ハンテイ</t>
    </rPh>
    <rPh sb="29" eb="30">
      <t>フク</t>
    </rPh>
    <rPh sb="32" eb="34">
      <t>ジドウ</t>
    </rPh>
    <rPh sb="34" eb="36">
      <t>ケイサン</t>
    </rPh>
    <phoneticPr fontId="2"/>
  </si>
  <si>
    <t>軽減判定所得（軽減判定加算含まない）</t>
    <rPh sb="0" eb="2">
      <t>ケイゲン</t>
    </rPh>
    <rPh sb="2" eb="4">
      <t>ハンテイ</t>
    </rPh>
    <rPh sb="4" eb="6">
      <t>ショトク</t>
    </rPh>
    <rPh sb="7" eb="9">
      <t>ケイゲン</t>
    </rPh>
    <rPh sb="9" eb="11">
      <t>ハンテイ</t>
    </rPh>
    <rPh sb="11" eb="13">
      <t>カサン</t>
    </rPh>
    <rPh sb="13" eb="14">
      <t>フク</t>
    </rPh>
    <phoneticPr fontId="2"/>
  </si>
  <si>
    <t>※納期毎の税額は国保税を納期の回数で割り振った税額となりますので、１か月あたりの税額と納期毎の税額は異なることがあります。</t>
    <rPh sb="1" eb="3">
      <t>ノウキ</t>
    </rPh>
    <rPh sb="3" eb="4">
      <t>ゴト</t>
    </rPh>
    <rPh sb="5" eb="7">
      <t>ゼイガク</t>
    </rPh>
    <rPh sb="8" eb="10">
      <t>コクホ</t>
    </rPh>
    <rPh sb="10" eb="11">
      <t>ゼイ</t>
    </rPh>
    <rPh sb="12" eb="14">
      <t>ノウキ</t>
    </rPh>
    <rPh sb="15" eb="17">
      <t>カイスウ</t>
    </rPh>
    <rPh sb="18" eb="19">
      <t>ワ</t>
    </rPh>
    <rPh sb="20" eb="21">
      <t>フ</t>
    </rPh>
    <rPh sb="23" eb="25">
      <t>ゼイガク</t>
    </rPh>
    <phoneticPr fontId="2"/>
  </si>
  <si>
    <t>年度途中で国保に加入・脱退した場合は月割りで国保税がかかります。</t>
    <rPh sb="0" eb="1">
      <t>ネン</t>
    </rPh>
    <rPh sb="1" eb="2">
      <t>ド</t>
    </rPh>
    <rPh sb="2" eb="4">
      <t>トチュウ</t>
    </rPh>
    <rPh sb="5" eb="7">
      <t>コクホ</t>
    </rPh>
    <rPh sb="8" eb="10">
      <t>カニュウ</t>
    </rPh>
    <rPh sb="11" eb="13">
      <t>ダッタイ</t>
    </rPh>
    <rPh sb="15" eb="17">
      <t>バアイ</t>
    </rPh>
    <rPh sb="18" eb="20">
      <t>ツキワ</t>
    </rPh>
    <rPh sb="22" eb="24">
      <t>コクホ</t>
    </rPh>
    <rPh sb="24" eb="25">
      <t>ゼイ</t>
    </rPh>
    <phoneticPr fontId="2"/>
  </si>
  <si>
    <t>なお、お電話では個人情報の取扱いから、お答えできかねることもございますのでご了承ください。</t>
  </si>
  <si>
    <t>B.年金所得△１５万円</t>
    <rPh sb="2" eb="4">
      <t>ネンキン</t>
    </rPh>
    <rPh sb="4" eb="6">
      <t>ショトク</t>
    </rPh>
    <rPh sb="9" eb="11">
      <t>マンエン</t>
    </rPh>
    <phoneticPr fontId="2"/>
  </si>
  <si>
    <t>(「B.年金所得△１５万円」を控除して計算)</t>
    <rPh sb="4" eb="6">
      <t>ネンキン</t>
    </rPh>
    <rPh sb="6" eb="8">
      <t>ショトク</t>
    </rPh>
    <rPh sb="11" eb="13">
      <t>マンエン</t>
    </rPh>
    <rPh sb="15" eb="17">
      <t>コウジョ</t>
    </rPh>
    <rPh sb="19" eb="21">
      <t>ケイサン</t>
    </rPh>
    <phoneticPr fontId="2"/>
  </si>
  <si>
    <t>A.加算基準額</t>
    <rPh sb="2" eb="4">
      <t>カサン</t>
    </rPh>
    <rPh sb="4" eb="6">
      <t>キジュン</t>
    </rPh>
    <rPh sb="6" eb="7">
      <t>ガク</t>
    </rPh>
    <phoneticPr fontId="2"/>
  </si>
  <si>
    <t>（「A.加算基準額を加算して軽減判定所得を判定している。」）</t>
    <rPh sb="4" eb="6">
      <t>カサン</t>
    </rPh>
    <rPh sb="6" eb="8">
      <t>キジュン</t>
    </rPh>
    <rPh sb="8" eb="9">
      <t>ガク</t>
    </rPh>
    <rPh sb="10" eb="12">
      <t>カサン</t>
    </rPh>
    <rPh sb="14" eb="16">
      <t>ケイゲン</t>
    </rPh>
    <rPh sb="16" eb="18">
      <t>ハンテイ</t>
    </rPh>
    <rPh sb="18" eb="20">
      <t>ショトク</t>
    </rPh>
    <rPh sb="21" eb="23">
      <t>ハンテイ</t>
    </rPh>
    <phoneticPr fontId="2"/>
  </si>
  <si>
    <t>※下記の軽減判定所得は令和３年度からの加算基準額は反映しておりません。</t>
    <rPh sb="21" eb="23">
      <t>キジュン</t>
    </rPh>
    <rPh sb="23" eb="24">
      <t>ガク</t>
    </rPh>
    <phoneticPr fontId="2"/>
  </si>
  <si>
    <t>↓令和３年度以降のみ使用してください!!</t>
    <rPh sb="1" eb="3">
      <t>レイワ</t>
    </rPh>
    <rPh sb="4" eb="5">
      <t>ネン</t>
    </rPh>
    <rPh sb="5" eb="6">
      <t>ド</t>
    </rPh>
    <rPh sb="6" eb="8">
      <t>イコウ</t>
    </rPh>
    <rPh sb="10" eb="12">
      <t>シヨウ</t>
    </rPh>
    <phoneticPr fontId="2"/>
  </si>
  <si>
    <t>０～６歳</t>
    <rPh sb="3" eb="4">
      <t>サイ</t>
    </rPh>
    <phoneticPr fontId="2"/>
  </si>
  <si>
    <t>子ども均等割用</t>
    <rPh sb="0" eb="1">
      <t>コ</t>
    </rPh>
    <rPh sb="3" eb="6">
      <t>キントウワリ</t>
    </rPh>
    <rPh sb="6" eb="7">
      <t>ヨウ</t>
    </rPh>
    <phoneticPr fontId="2"/>
  </si>
  <si>
    <t>未就学児数</t>
    <rPh sb="0" eb="4">
      <t>ミシュウガクジ</t>
    </rPh>
    <rPh sb="4" eb="5">
      <t>スウ</t>
    </rPh>
    <phoneticPr fontId="2"/>
  </si>
  <si>
    <t>医療分</t>
    <rPh sb="0" eb="3">
      <t>イリョウブン</t>
    </rPh>
    <phoneticPr fontId="2"/>
  </si>
  <si>
    <t>支援分</t>
    <rPh sb="0" eb="3">
      <t>シエンブン</t>
    </rPh>
    <phoneticPr fontId="2"/>
  </si>
  <si>
    <t>子ども均等割減額分</t>
    <rPh sb="0" eb="1">
      <t>コ</t>
    </rPh>
    <rPh sb="3" eb="5">
      <t>キントウ</t>
    </rPh>
    <rPh sb="5" eb="6">
      <t>ワリ</t>
    </rPh>
    <rPh sb="6" eb="8">
      <t>ゲンガク</t>
    </rPh>
    <rPh sb="8" eb="9">
      <t>ブン</t>
    </rPh>
    <phoneticPr fontId="2"/>
  </si>
  <si>
    <t>医療分</t>
    <rPh sb="0" eb="3">
      <t>イリョウブン</t>
    </rPh>
    <phoneticPr fontId="2"/>
  </si>
  <si>
    <t>支援分</t>
    <rPh sb="0" eb="3">
      <t>シエンブン</t>
    </rPh>
    <phoneticPr fontId="2"/>
  </si>
  <si>
    <t>介護分</t>
    <rPh sb="0" eb="3">
      <t>カイゴブン</t>
    </rPh>
    <phoneticPr fontId="2"/>
  </si>
  <si>
    <t>税率</t>
    <rPh sb="0" eb="2">
      <t>ゼイリツ</t>
    </rPh>
    <phoneticPr fontId="2"/>
  </si>
  <si>
    <t>賦課限度額</t>
    <rPh sb="0" eb="4">
      <t>フカゲンド</t>
    </rPh>
    <rPh sb="4" eb="5">
      <t>ガク</t>
    </rPh>
    <phoneticPr fontId="2"/>
  </si>
  <si>
    <t>均等割額</t>
    <rPh sb="0" eb="3">
      <t>キントウワリ</t>
    </rPh>
    <rPh sb="3" eb="4">
      <t>ガク</t>
    </rPh>
    <phoneticPr fontId="2"/>
  </si>
  <si>
    <t>基礎控除額</t>
    <rPh sb="0" eb="2">
      <t>キソ</t>
    </rPh>
    <rPh sb="2" eb="5">
      <t>コウジョガク</t>
    </rPh>
    <phoneticPr fontId="2"/>
  </si>
  <si>
    <t>※税率改正等あれば、ここに改正後を入力する。計算過程の式には</t>
    <rPh sb="1" eb="3">
      <t>ゼイリツ</t>
    </rPh>
    <rPh sb="3" eb="5">
      <t>カイセイ</t>
    </rPh>
    <rPh sb="5" eb="6">
      <t>トウ</t>
    </rPh>
    <rPh sb="13" eb="16">
      <t>カイセイゴ</t>
    </rPh>
    <rPh sb="17" eb="19">
      <t>ニュウリョク</t>
    </rPh>
    <rPh sb="22" eb="24">
      <t>ケイサン</t>
    </rPh>
    <rPh sb="24" eb="26">
      <t>カテイ</t>
    </rPh>
    <rPh sb="27" eb="28">
      <t>シキ</t>
    </rPh>
    <phoneticPr fontId="2"/>
  </si>
  <si>
    <t>上記のセルが組み込まれてます。ただし、計算方法等が変更した場合は</t>
    <rPh sb="0" eb="2">
      <t>ジョウキ</t>
    </rPh>
    <rPh sb="6" eb="7">
      <t>ク</t>
    </rPh>
    <rPh sb="8" eb="9">
      <t>コ</t>
    </rPh>
    <rPh sb="19" eb="21">
      <t>ケイサン</t>
    </rPh>
    <rPh sb="21" eb="23">
      <t>ホウホウ</t>
    </rPh>
    <rPh sb="23" eb="24">
      <t>トウ</t>
    </rPh>
    <rPh sb="25" eb="27">
      <t>ヘンコウ</t>
    </rPh>
    <rPh sb="29" eb="31">
      <t>バアイ</t>
    </rPh>
    <phoneticPr fontId="2"/>
  </si>
  <si>
    <t>新しく作ってください。</t>
    <rPh sb="0" eb="1">
      <t>アタラ</t>
    </rPh>
    <rPh sb="3" eb="4">
      <t>ツク</t>
    </rPh>
    <phoneticPr fontId="2"/>
  </si>
  <si>
    <t>年金収入65以上</t>
    <rPh sb="0" eb="2">
      <t>ネンキン</t>
    </rPh>
    <rPh sb="2" eb="4">
      <t>シュウニュウ</t>
    </rPh>
    <rPh sb="6" eb="8">
      <t>イジョウ</t>
    </rPh>
    <phoneticPr fontId="2"/>
  </si>
  <si>
    <t>給与収入</t>
    <rPh sb="0" eb="2">
      <t>キュウヨ</t>
    </rPh>
    <rPh sb="2" eb="4">
      <t>シュウニュウ</t>
    </rPh>
    <phoneticPr fontId="2"/>
  </si>
  <si>
    <t>年金収入64以下</t>
    <rPh sb="0" eb="2">
      <t>ネンキン</t>
    </rPh>
    <rPh sb="2" eb="4">
      <t>シュウニュウ</t>
    </rPh>
    <rPh sb="6" eb="8">
      <t>イカ</t>
    </rPh>
    <phoneticPr fontId="2"/>
  </si>
  <si>
    <t>旧ただし書所得</t>
    <rPh sb="0" eb="1">
      <t>キュウ</t>
    </rPh>
    <rPh sb="4" eb="5">
      <t>ガ</t>
    </rPh>
    <rPh sb="5" eb="7">
      <t>ショトク</t>
    </rPh>
    <phoneticPr fontId="2"/>
  </si>
  <si>
    <t>軽減基礎額</t>
    <rPh sb="0" eb="2">
      <t>ケイゲン</t>
    </rPh>
    <rPh sb="2" eb="5">
      <t>キソガク</t>
    </rPh>
    <phoneticPr fontId="2"/>
  </si>
  <si>
    <t>国保加入者の所得が一定以下の場合や未就学児については、均等割が軽減される場合があります。</t>
    <rPh sb="0" eb="2">
      <t>コクホ</t>
    </rPh>
    <rPh sb="2" eb="5">
      <t>カニュウシャ</t>
    </rPh>
    <rPh sb="6" eb="8">
      <t>ショトク</t>
    </rPh>
    <rPh sb="9" eb="11">
      <t>イッテイ</t>
    </rPh>
    <rPh sb="11" eb="13">
      <t>イカ</t>
    </rPh>
    <rPh sb="14" eb="16">
      <t>バアイ</t>
    </rPh>
    <rPh sb="17" eb="20">
      <t>ミシュウガク</t>
    </rPh>
    <rPh sb="20" eb="21">
      <t>ジ</t>
    </rPh>
    <rPh sb="27" eb="30">
      <t>キントウワ</t>
    </rPh>
    <rPh sb="31" eb="33">
      <t>ケイゲン</t>
    </rPh>
    <rPh sb="36" eb="38">
      <t>バアイ</t>
    </rPh>
    <phoneticPr fontId="2"/>
  </si>
  <si>
    <t>１．に該当する者</t>
    <rPh sb="3" eb="5">
      <t>ガイトウ</t>
    </rPh>
    <rPh sb="7" eb="8">
      <t>モノ</t>
    </rPh>
    <phoneticPr fontId="2"/>
  </si>
  <si>
    <t>年齢区分</t>
    <rPh sb="0" eb="2">
      <t>ネンレイ</t>
    </rPh>
    <rPh sb="2" eb="4">
      <t>クブン</t>
    </rPh>
    <phoneticPr fontId="2"/>
  </si>
  <si>
    <t>年金収入</t>
    <rPh sb="0" eb="2">
      <t>ネンキン</t>
    </rPh>
    <rPh sb="2" eb="4">
      <t>シュウニュウ</t>
    </rPh>
    <phoneticPr fontId="2"/>
  </si>
  <si>
    <t>30
/100</t>
  </si>
  <si>
    <r>
      <t>③　給与収入・年金収入・その他所得がない場合は空白のままにします。</t>
    </r>
    <r>
      <rPr>
        <b/>
        <u/>
        <sz val="12"/>
        <color theme="1"/>
        <rFont val="ＭＳ Ｐゴシック"/>
        <family val="3"/>
        <charset val="128"/>
        <scheme val="minor"/>
      </rPr>
      <t>（年齢区分は必ず入力してください。均等割額が反映しません）</t>
    </r>
    <rPh sb="2" eb="4">
      <t>キュウヨ</t>
    </rPh>
    <rPh sb="4" eb="6">
      <t>シュウニュウ</t>
    </rPh>
    <rPh sb="7" eb="9">
      <t>ネンキン</t>
    </rPh>
    <rPh sb="9" eb="11">
      <t>シュウニュウ</t>
    </rPh>
    <rPh sb="14" eb="15">
      <t>タ</t>
    </rPh>
    <rPh sb="15" eb="17">
      <t>ショトク</t>
    </rPh>
    <rPh sb="20" eb="22">
      <t>バアイ</t>
    </rPh>
    <rPh sb="23" eb="25">
      <t>クウハク</t>
    </rPh>
    <rPh sb="34" eb="36">
      <t>ネンレイ</t>
    </rPh>
    <rPh sb="36" eb="38">
      <t>クブン</t>
    </rPh>
    <rPh sb="39" eb="40">
      <t>カナラ</t>
    </rPh>
    <rPh sb="41" eb="43">
      <t>ニュウリョク</t>
    </rPh>
    <rPh sb="50" eb="52">
      <t>キントウ</t>
    </rPh>
    <rPh sb="52" eb="53">
      <t>ワリ</t>
    </rPh>
    <rPh sb="53" eb="54">
      <t>ガク</t>
    </rPh>
    <rPh sb="55" eb="57">
      <t>ハンエイ</t>
    </rPh>
    <phoneticPr fontId="2"/>
  </si>
  <si>
    <t>給与所得の金額</t>
    <rPh sb="0" eb="2">
      <t>キュウヨ</t>
    </rPh>
    <rPh sb="2" eb="4">
      <t>ショトク</t>
    </rPh>
    <rPh sb="5" eb="7">
      <t>キンガク</t>
    </rPh>
    <phoneticPr fontId="2"/>
  </si>
  <si>
    <t>給与所得</t>
    <rPh sb="0" eb="4">
      <t>キュウヨショトク</t>
    </rPh>
    <phoneticPr fontId="2"/>
  </si>
  <si>
    <t>※非自発の給与所得は、調整控除前の給与所得に30/100します。参考までに左端に給与所得</t>
    <rPh sb="1" eb="4">
      <t>ヒジハツ</t>
    </rPh>
    <rPh sb="5" eb="9">
      <t>キュウヨショトク</t>
    </rPh>
    <rPh sb="11" eb="15">
      <t>チョウセイコウジョ</t>
    </rPh>
    <rPh sb="15" eb="16">
      <t>マエ</t>
    </rPh>
    <rPh sb="17" eb="19">
      <t>キュウヨ</t>
    </rPh>
    <rPh sb="19" eb="21">
      <t>ショトク</t>
    </rPh>
    <rPh sb="32" eb="34">
      <t>サンコウ</t>
    </rPh>
    <rPh sb="37" eb="39">
      <t>ヒダリハシ</t>
    </rPh>
    <rPh sb="40" eb="42">
      <t>キュウヨ</t>
    </rPh>
    <rPh sb="42" eb="44">
      <t>ショトク</t>
    </rPh>
    <phoneticPr fontId="2"/>
  </si>
  <si>
    <t>介護用旧ただし書所得</t>
    <rPh sb="0" eb="3">
      <t>カイゴヨウ</t>
    </rPh>
    <rPh sb="3" eb="4">
      <t>キュウ</t>
    </rPh>
    <rPh sb="7" eb="8">
      <t>ガキ</t>
    </rPh>
    <rPh sb="8" eb="10">
      <t>ショトク</t>
    </rPh>
    <phoneticPr fontId="2"/>
  </si>
  <si>
    <t>７～１８歳</t>
    <rPh sb="4" eb="5">
      <t>サイ</t>
    </rPh>
    <phoneticPr fontId="2"/>
  </si>
  <si>
    <t>１９～３９歳</t>
    <rPh sb="5" eb="6">
      <t>サイ</t>
    </rPh>
    <phoneticPr fontId="2"/>
  </si>
  <si>
    <t>子ども子育て納付金分</t>
    <rPh sb="0" eb="1">
      <t>コ</t>
    </rPh>
    <rPh sb="3" eb="5">
      <t>コソダ</t>
    </rPh>
    <rPh sb="6" eb="9">
      <t>ノウフキン</t>
    </rPh>
    <rPh sb="9" eb="10">
      <t>ブン</t>
    </rPh>
    <phoneticPr fontId="2"/>
  </si>
  <si>
    <t>（A）－650,000円＝（C）</t>
    <phoneticPr fontId="2"/>
  </si>
  <si>
    <t>子ども分</t>
    <rPh sb="0" eb="1">
      <t>コ</t>
    </rPh>
    <rPh sb="3" eb="4">
      <t>ブン</t>
    </rPh>
    <phoneticPr fontId="2"/>
  </si>
  <si>
    <t>令和8年度上尾市国民健康保険税の試算</t>
    <rPh sb="0" eb="1">
      <t>レイ</t>
    </rPh>
    <rPh sb="1" eb="2">
      <t>ワ</t>
    </rPh>
    <rPh sb="3" eb="4">
      <t>ネン</t>
    </rPh>
    <rPh sb="4" eb="5">
      <t>ヘイネン</t>
    </rPh>
    <rPh sb="5" eb="8">
      <t>アゲオシ</t>
    </rPh>
    <rPh sb="8" eb="10">
      <t>コクミン</t>
    </rPh>
    <rPh sb="10" eb="12">
      <t>ケンコウ</t>
    </rPh>
    <rPh sb="12" eb="14">
      <t>ホケン</t>
    </rPh>
    <rPh sb="14" eb="15">
      <t>ゼイ</t>
    </rPh>
    <rPh sb="16" eb="18">
      <t>シサン</t>
    </rPh>
    <phoneticPr fontId="2"/>
  </si>
  <si>
    <t>３月３１日時点で１８歳以下の国保加入者については、子ども子育て納付金分の均等割はかかりません。</t>
    <rPh sb="1" eb="2">
      <t>ガツ</t>
    </rPh>
    <rPh sb="4" eb="5">
      <t>ニチ</t>
    </rPh>
    <rPh sb="5" eb="7">
      <t>ジテン</t>
    </rPh>
    <rPh sb="10" eb="11">
      <t>サイ</t>
    </rPh>
    <rPh sb="11" eb="13">
      <t>イカ</t>
    </rPh>
    <rPh sb="14" eb="19">
      <t>コクホカニュウシャ</t>
    </rPh>
    <rPh sb="25" eb="26">
      <t>コ</t>
    </rPh>
    <rPh sb="28" eb="30">
      <t>コソダ</t>
    </rPh>
    <rPh sb="31" eb="35">
      <t>ノウフキンブン</t>
    </rPh>
    <rPh sb="36" eb="39">
      <t>キントウワ</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</si>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</sst>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sz val="22"/>
      <color theme="1"/>
      <name val="HG丸ｺﾞｼｯｸM-PRO"/>
      <family val="3"/>
      <charset val="128"/>
    </font>
    <font>
      <sz val="36"/>
      <color theme="1"/>
      <name val="HG丸ｺﾞｼｯｸM-PRO"/>
      <family val="3"/>
      <charset val="128"/>
    </font>
    <font>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20"/>
      <color theme="1"/>
      <name val="HG丸ｺﾞｼｯｸM-PRO"/>
      <family val="3"/>
      <charset val="128"/>
    </font>
    <font>
      <sz val="36"/>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6"/>
      <name val="メイリオ"/>
      <family val="2"/>
      <charset val="128"/>
    </font>
    <font>
      <b/>
      <sz val="12"/>
      <color theme="1"/>
      <name val="ＭＳ Ｐゴシック"/>
      <family val="3"/>
      <charset val="128"/>
      <scheme val="minor"/>
    </font>
    <font>
      <b/>
      <sz val="14"/>
      <color theme="1"/>
      <name val="ＭＳ Ｐゴシック"/>
      <family val="3"/>
      <charset val="128"/>
      <scheme val="minor"/>
    </font>
    <font>
      <sz val="11"/>
      <color theme="0"/>
      <name val="ＭＳ Ｐゴシック"/>
      <family val="2"/>
      <charset val="128"/>
      <scheme val="minor"/>
    </font>
    <font>
      <sz val="11"/>
      <color theme="0" tint="-0.34998626667073579"/>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9"/>
      <color theme="1"/>
      <name val="ＭＳ Ｐゴシック"/>
      <family val="2"/>
      <charset val="128"/>
      <scheme val="minor"/>
    </font>
    <font>
      <b/>
      <u/>
      <sz val="12"/>
      <color theme="1"/>
      <name val="ＭＳ Ｐゴシック"/>
      <family val="3"/>
      <charset val="128"/>
      <scheme val="minor"/>
    </font>
    <font>
      <sz val="16"/>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right style="dotted">
        <color indexed="64"/>
      </right>
      <top style="medium">
        <color indexed="64"/>
      </top>
      <bottom/>
      <diagonal/>
    </border>
    <border>
      <left style="dotted">
        <color indexed="64"/>
      </left>
      <right style="dotted">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0">
    <xf numFmtId="0" fontId="0" fillId="0" borderId="0" xfId="0">
      <alignment vertical="center"/>
    </xf>
    <xf numFmtId="38" fontId="7" fillId="0" borderId="0" xfId="1" applyFont="1" applyProtection="1">
      <alignment vertical="center"/>
    </xf>
    <xf numFmtId="38" fontId="7" fillId="2" borderId="0" xfId="1" applyFont="1" applyFill="1" applyProtection="1">
      <alignment vertical="center"/>
    </xf>
    <xf numFmtId="38" fontId="4" fillId="0" borderId="0" xfId="1" applyFont="1" applyProtection="1">
      <alignment vertical="center"/>
    </xf>
    <xf numFmtId="38" fontId="12" fillId="2" borderId="0" xfId="1" applyFont="1" applyFill="1" applyBorder="1" applyAlignment="1" applyProtection="1">
      <alignment vertical="center"/>
    </xf>
    <xf numFmtId="38" fontId="7" fillId="0" borderId="0" xfId="1" applyFont="1" applyBorder="1" applyProtection="1">
      <alignment vertical="center"/>
    </xf>
    <xf numFmtId="38" fontId="13" fillId="0" borderId="0" xfId="1" applyFont="1" applyAlignment="1" applyProtection="1">
      <alignment vertical="center" wrapText="1"/>
    </xf>
    <xf numFmtId="38" fontId="3" fillId="0" borderId="0" xfId="1" applyFont="1" applyProtection="1">
      <alignment vertical="center"/>
    </xf>
    <xf numFmtId="38" fontId="13" fillId="0" borderId="0" xfId="1" applyFont="1" applyProtection="1">
      <alignment vertical="center"/>
    </xf>
    <xf numFmtId="38" fontId="14" fillId="0" borderId="0" xfId="1" applyFont="1" applyBorder="1" applyAlignment="1" applyProtection="1">
      <alignment vertical="center" wrapText="1"/>
    </xf>
    <xf numFmtId="0" fontId="0" fillId="0" borderId="0" xfId="0" applyAlignment="1">
      <alignment vertical="center" shrinkToFit="1"/>
    </xf>
    <xf numFmtId="3" fontId="0" fillId="0" borderId="0" xfId="0" applyNumberFormat="1">
      <alignment vertical="center"/>
    </xf>
    <xf numFmtId="3" fontId="0" fillId="0" borderId="0" xfId="0" applyNumberFormat="1" applyAlignment="1">
      <alignment horizontal="left" vertical="center"/>
    </xf>
    <xf numFmtId="0" fontId="0" fillId="0" borderId="0" xfId="0" applyAlignment="1">
      <alignment horizontal="right" vertical="center" shrinkToFit="1"/>
    </xf>
    <xf numFmtId="3" fontId="0" fillId="0" borderId="0" xfId="0" applyNumberFormat="1" applyAlignment="1">
      <alignment vertical="center" shrinkToFit="1"/>
    </xf>
    <xf numFmtId="0" fontId="0" fillId="0" borderId="0" xfId="0" applyAlignment="1">
      <alignment horizontal="center" vertical="center"/>
    </xf>
    <xf numFmtId="0" fontId="0" fillId="0" borderId="1" xfId="0" applyBorder="1">
      <alignment vertical="center"/>
    </xf>
    <xf numFmtId="176" fontId="0" fillId="0" borderId="9" xfId="0" applyNumberFormat="1" applyBorder="1">
      <alignment vertical="center"/>
    </xf>
    <xf numFmtId="176" fontId="0" fillId="0" borderId="10" xfId="0" applyNumberFormat="1" applyBorder="1" applyAlignment="1">
      <alignment horizontal="center" vertical="center"/>
    </xf>
    <xf numFmtId="176" fontId="0" fillId="0" borderId="11" xfId="0" applyNumberFormat="1" applyBorder="1">
      <alignment vertical="center"/>
    </xf>
    <xf numFmtId="0" fontId="0" fillId="0" borderId="0" xfId="0" applyAlignment="1">
      <alignment vertical="center" wrapText="1"/>
    </xf>
    <xf numFmtId="0" fontId="16" fillId="0" borderId="0" xfId="0" applyFont="1" applyProtection="1">
      <alignment vertical="center"/>
      <protection hidden="1"/>
    </xf>
    <xf numFmtId="0" fontId="0" fillId="0" borderId="0" xfId="0" applyProtection="1">
      <alignment vertical="center"/>
      <protection hidden="1"/>
    </xf>
    <xf numFmtId="0" fontId="17" fillId="0" borderId="0" xfId="0" applyFont="1" applyProtection="1">
      <alignment vertical="center"/>
      <protection hidden="1"/>
    </xf>
    <xf numFmtId="0" fontId="0" fillId="0" borderId="6" xfId="0" applyBorder="1" applyProtection="1">
      <alignment vertical="center"/>
      <protection hidden="1"/>
    </xf>
    <xf numFmtId="0" fontId="0" fillId="0" borderId="7" xfId="0" applyBorder="1" applyProtection="1">
      <alignment vertical="center"/>
      <protection hidden="1"/>
    </xf>
    <xf numFmtId="176" fontId="0" fillId="3" borderId="6" xfId="0" applyNumberFormat="1" applyFill="1" applyBorder="1" applyProtection="1">
      <alignment vertical="center"/>
      <protection locked="0" hidden="1"/>
    </xf>
    <xf numFmtId="0" fontId="0" fillId="0" borderId="8" xfId="0" applyBorder="1" applyProtection="1">
      <alignment vertical="center"/>
      <protection hidden="1"/>
    </xf>
    <xf numFmtId="0" fontId="0" fillId="0" borderId="9" xfId="0" applyBorder="1" applyProtection="1">
      <alignment vertical="center"/>
      <protection hidden="1"/>
    </xf>
    <xf numFmtId="0" fontId="0" fillId="0" borderId="10" xfId="0" applyBorder="1" applyProtection="1">
      <alignment vertical="center"/>
      <protection hidden="1"/>
    </xf>
    <xf numFmtId="0" fontId="7" fillId="0" borderId="0" xfId="0" applyFont="1" applyProtection="1">
      <alignment vertical="center"/>
      <protection hidden="1"/>
    </xf>
    <xf numFmtId="0" fontId="0" fillId="0" borderId="9" xfId="0" applyBorder="1" applyAlignment="1" applyProtection="1">
      <alignment horizontal="right" vertical="center"/>
      <protection hidden="1"/>
    </xf>
    <xf numFmtId="0" fontId="0" fillId="0" borderId="11" xfId="0" applyBorder="1" applyProtection="1">
      <alignment vertical="center"/>
      <protection hidden="1"/>
    </xf>
    <xf numFmtId="176" fontId="0" fillId="0" borderId="6" xfId="0" applyNumberFormat="1" applyBorder="1" applyProtection="1">
      <alignment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176" fontId="0" fillId="0" borderId="12" xfId="0" applyNumberFormat="1" applyBorder="1" applyProtection="1">
      <alignment vertical="center"/>
      <protection hidden="1"/>
    </xf>
    <xf numFmtId="0" fontId="0" fillId="0" borderId="14" xfId="0" applyBorder="1" applyProtection="1">
      <alignment vertical="center"/>
      <protection hidden="1"/>
    </xf>
    <xf numFmtId="0" fontId="0" fillId="0" borderId="15" xfId="0" applyBorder="1" applyProtection="1">
      <alignment vertical="center"/>
      <protection hidden="1"/>
    </xf>
    <xf numFmtId="0" fontId="0" fillId="0" borderId="16" xfId="0" applyBorder="1" applyProtection="1">
      <alignment vertical="center"/>
      <protection hidden="1"/>
    </xf>
    <xf numFmtId="0" fontId="0" fillId="0" borderId="17" xfId="0" applyBorder="1" applyProtection="1">
      <alignment vertical="center"/>
      <protection hidden="1"/>
    </xf>
    <xf numFmtId="0" fontId="0" fillId="0" borderId="18" xfId="0" applyBorder="1" applyProtection="1">
      <alignment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38" fontId="0" fillId="0" borderId="19" xfId="1" applyFont="1" applyBorder="1" applyProtection="1">
      <alignment vertical="center"/>
      <protection hidden="1"/>
    </xf>
    <xf numFmtId="0" fontId="4" fillId="5" borderId="1" xfId="0" applyFont="1" applyFill="1" applyBorder="1" applyProtection="1">
      <alignment vertical="center"/>
      <protection locked="0"/>
    </xf>
    <xf numFmtId="38" fontId="4" fillId="5" borderId="1" xfId="1" applyFont="1" applyFill="1" applyBorder="1" applyProtection="1">
      <alignment vertical="center"/>
      <protection locked="0"/>
    </xf>
    <xf numFmtId="0" fontId="10" fillId="5" borderId="1" xfId="0" applyFont="1" applyFill="1" applyBorder="1" applyAlignment="1" applyProtection="1">
      <alignment horizontal="center" vertical="center"/>
      <protection locked="0"/>
    </xf>
    <xf numFmtId="38" fontId="12" fillId="2" borderId="0" xfId="1" applyFont="1" applyFill="1" applyBorder="1" applyAlignment="1" applyProtection="1">
      <alignment horizontal="left" vertical="center"/>
    </xf>
    <xf numFmtId="38" fontId="0" fillId="4" borderId="15" xfId="1" applyFont="1" applyFill="1" applyBorder="1" applyAlignment="1" applyProtection="1">
      <alignment horizontal="right" vertical="center"/>
      <protection hidden="1"/>
    </xf>
    <xf numFmtId="38" fontId="0" fillId="4" borderId="10" xfId="1" applyFont="1" applyFill="1" applyBorder="1" applyAlignment="1" applyProtection="1">
      <alignment horizontal="right" vertical="center"/>
      <protection hidden="1"/>
    </xf>
    <xf numFmtId="0" fontId="0" fillId="3" borderId="0" xfId="0" applyFill="1">
      <alignment vertical="center"/>
    </xf>
    <xf numFmtId="3" fontId="0" fillId="3" borderId="0" xfId="0" applyNumberFormat="1" applyFill="1" applyAlignment="1">
      <alignment horizontal="left" vertical="center" shrinkToFit="1"/>
    </xf>
    <xf numFmtId="3" fontId="0" fillId="3" borderId="0" xfId="0" applyNumberFormat="1" applyFill="1">
      <alignment vertical="center"/>
    </xf>
    <xf numFmtId="38" fontId="0" fillId="3" borderId="0" xfId="0" applyNumberFormat="1" applyFill="1">
      <alignment vertical="center"/>
    </xf>
    <xf numFmtId="0" fontId="0" fillId="3" borderId="0" xfId="0" applyFill="1" applyAlignment="1">
      <alignment horizontal="center" vertical="center"/>
    </xf>
    <xf numFmtId="38" fontId="0" fillId="0" borderId="1" xfId="0" applyNumberFormat="1" applyBorder="1">
      <alignmen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38" fontId="0" fillId="0" borderId="1" xfId="1" applyFont="1" applyBorder="1">
      <alignment vertical="center"/>
    </xf>
    <xf numFmtId="38" fontId="0" fillId="0" borderId="9" xfId="1" applyFont="1" applyBorder="1">
      <alignment vertical="center"/>
    </xf>
    <xf numFmtId="38" fontId="0" fillId="0" borderId="11" xfId="1" applyFont="1" applyBorder="1">
      <alignment vertical="center"/>
    </xf>
    <xf numFmtId="38" fontId="0" fillId="0" borderId="10" xfId="1" applyFont="1" applyBorder="1">
      <alignment vertical="center"/>
    </xf>
    <xf numFmtId="38" fontId="0" fillId="0" borderId="0" xfId="1" applyFont="1" applyBorder="1">
      <alignment vertical="center"/>
    </xf>
    <xf numFmtId="38" fontId="0" fillId="0" borderId="0" xfId="0" applyNumberFormat="1">
      <alignment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23" xfId="0" applyBorder="1">
      <alignment vertical="center"/>
    </xf>
    <xf numFmtId="0" fontId="0" fillId="0" borderId="21"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10" xfId="0" applyBorder="1">
      <alignment vertical="center"/>
    </xf>
    <xf numFmtId="0" fontId="0" fillId="0" borderId="1" xfId="0" applyBorder="1" applyAlignment="1">
      <alignment vertical="center" shrinkToFit="1"/>
    </xf>
    <xf numFmtId="0" fontId="0" fillId="0" borderId="1" xfId="0" applyBorder="1" applyAlignment="1">
      <alignment horizontal="left" vertical="center" shrinkToFit="1"/>
    </xf>
    <xf numFmtId="0" fontId="0" fillId="0" borderId="22" xfId="0" applyBorder="1" applyAlignment="1">
      <alignment horizontal="left" vertical="center" shrinkToFit="1"/>
    </xf>
    <xf numFmtId="0" fontId="0" fillId="0" borderId="22" xfId="0" applyBorder="1">
      <alignment vertical="center"/>
    </xf>
    <xf numFmtId="0" fontId="0" fillId="0" borderId="20" xfId="0" applyBorder="1" applyAlignment="1">
      <alignment horizontal="center" vertical="center"/>
    </xf>
    <xf numFmtId="0" fontId="0" fillId="0" borderId="7" xfId="0" applyBorder="1">
      <alignment vertical="center"/>
    </xf>
    <xf numFmtId="0" fontId="7" fillId="0" borderId="1" xfId="0" applyFont="1"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0" fontId="0" fillId="0" borderId="24" xfId="0" applyBorder="1">
      <alignment vertical="center"/>
    </xf>
    <xf numFmtId="0" fontId="0" fillId="0" borderId="5" xfId="0" applyBorder="1">
      <alignment vertical="center"/>
    </xf>
    <xf numFmtId="0" fontId="0" fillId="0" borderId="8" xfId="0" applyBorder="1" applyAlignment="1">
      <alignment horizontal="center"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1" xfId="0" applyBorder="1" applyAlignment="1">
      <alignment horizontal="right" vertical="center"/>
    </xf>
    <xf numFmtId="38" fontId="21" fillId="0" borderId="23" xfId="0" applyNumberFormat="1" applyFont="1" applyBorder="1" applyAlignment="1">
      <alignment horizontal="right" vertical="center"/>
    </xf>
    <xf numFmtId="38" fontId="21" fillId="0" borderId="22" xfId="0" applyNumberFormat="1" applyFont="1" applyBorder="1" applyAlignment="1">
      <alignment horizontal="right" vertical="center"/>
    </xf>
    <xf numFmtId="0" fontId="23" fillId="0" borderId="0" xfId="0" applyFont="1">
      <alignment vertical="center"/>
    </xf>
    <xf numFmtId="38" fontId="3" fillId="7" borderId="1" xfId="1" applyFont="1" applyFill="1" applyBorder="1" applyAlignment="1" applyProtection="1">
      <alignment horizontal="center" vertical="center"/>
    </xf>
    <xf numFmtId="38" fontId="9" fillId="7" borderId="1" xfId="1" applyFont="1" applyFill="1" applyBorder="1" applyAlignment="1" applyProtection="1">
      <alignment horizontal="center" vertical="center" wrapText="1"/>
    </xf>
    <xf numFmtId="38" fontId="3" fillId="3" borderId="1" xfId="1" applyFont="1" applyFill="1" applyBorder="1" applyProtection="1">
      <alignment vertical="center"/>
    </xf>
    <xf numFmtId="38" fontId="0" fillId="0" borderId="9" xfId="0" applyNumberFormat="1" applyBorder="1">
      <alignment vertical="center"/>
    </xf>
    <xf numFmtId="38" fontId="0" fillId="3" borderId="24" xfId="0" applyNumberFormat="1" applyFill="1" applyBorder="1">
      <alignment vertical="center"/>
    </xf>
    <xf numFmtId="0" fontId="0" fillId="3" borderId="26" xfId="0" applyFill="1" applyBorder="1" applyAlignment="1">
      <alignment horizontal="right" vertical="center"/>
    </xf>
    <xf numFmtId="0" fontId="0" fillId="0" borderId="21" xfId="0" applyBorder="1" applyAlignment="1">
      <alignment horizontal="right" vertical="center"/>
    </xf>
    <xf numFmtId="0" fontId="3" fillId="5" borderId="1" xfId="0" applyFont="1" applyFill="1" applyBorder="1" applyAlignment="1" applyProtection="1">
      <alignment horizontal="center" vertical="center"/>
      <protection locked="0"/>
    </xf>
    <xf numFmtId="0" fontId="24" fillId="0" borderId="0" xfId="0" applyFont="1">
      <alignment vertical="center"/>
    </xf>
    <xf numFmtId="0" fontId="0" fillId="8" borderId="1" xfId="0" applyFill="1" applyBorder="1">
      <alignment vertical="center"/>
    </xf>
    <xf numFmtId="0" fontId="0" fillId="0" borderId="9" xfId="0" applyBorder="1">
      <alignment vertical="center"/>
    </xf>
    <xf numFmtId="0" fontId="0" fillId="3" borderId="24" xfId="0" applyFill="1" applyBorder="1">
      <alignment vertical="center"/>
    </xf>
    <xf numFmtId="38" fontId="3" fillId="8" borderId="1" xfId="1" applyFont="1" applyFill="1" applyBorder="1" applyProtection="1">
      <alignment vertical="center"/>
    </xf>
    <xf numFmtId="38" fontId="0" fillId="0" borderId="0" xfId="1" applyFont="1">
      <alignment vertical="center"/>
    </xf>
    <xf numFmtId="38" fontId="0" fillId="0" borderId="33" xfId="1" applyFont="1" applyBorder="1">
      <alignment vertical="center"/>
    </xf>
    <xf numFmtId="0" fontId="0" fillId="0" borderId="33" xfId="0" applyBorder="1">
      <alignment vertical="center"/>
    </xf>
    <xf numFmtId="0" fontId="0" fillId="0" borderId="35" xfId="0" applyBorder="1">
      <alignment vertical="center"/>
    </xf>
    <xf numFmtId="0" fontId="0" fillId="0" borderId="31" xfId="0" applyBorder="1">
      <alignment vertical="center"/>
    </xf>
    <xf numFmtId="0" fontId="0" fillId="0" borderId="36" xfId="0" applyBorder="1">
      <alignment vertical="center"/>
    </xf>
    <xf numFmtId="0" fontId="19" fillId="9" borderId="24" xfId="0" applyFont="1" applyFill="1" applyBorder="1" applyProtection="1">
      <alignment vertical="center"/>
      <protection locked="0"/>
    </xf>
    <xf numFmtId="38" fontId="23" fillId="9" borderId="4" xfId="1" applyFont="1" applyFill="1" applyBorder="1">
      <alignment vertical="center"/>
    </xf>
    <xf numFmtId="0" fontId="23" fillId="9" borderId="43" xfId="0" applyFont="1" applyFill="1" applyBorder="1">
      <alignment vertical="center"/>
    </xf>
    <xf numFmtId="0" fontId="23" fillId="9" borderId="39" xfId="0" applyFont="1" applyFill="1" applyBorder="1">
      <alignment vertical="center"/>
    </xf>
    <xf numFmtId="0" fontId="23" fillId="0" borderId="47" xfId="0" applyFont="1" applyBorder="1">
      <alignment vertical="center"/>
    </xf>
    <xf numFmtId="0" fontId="23" fillId="9" borderId="37" xfId="0" applyFont="1" applyFill="1" applyBorder="1">
      <alignment vertical="center"/>
    </xf>
    <xf numFmtId="0" fontId="23" fillId="9" borderId="44" xfId="0" applyFont="1" applyFill="1" applyBorder="1">
      <alignment vertical="center"/>
    </xf>
    <xf numFmtId="0" fontId="23" fillId="9" borderId="40" xfId="0" applyFont="1" applyFill="1" applyBorder="1">
      <alignment vertical="center"/>
    </xf>
    <xf numFmtId="0" fontId="23" fillId="0" borderId="48" xfId="0" applyFont="1" applyBorder="1">
      <alignment vertical="center"/>
    </xf>
    <xf numFmtId="0" fontId="23" fillId="9" borderId="38" xfId="0" applyFont="1" applyFill="1" applyBorder="1">
      <alignment vertical="center"/>
    </xf>
    <xf numFmtId="0" fontId="23" fillId="9" borderId="45" xfId="0" applyFont="1" applyFill="1" applyBorder="1">
      <alignment vertical="center"/>
    </xf>
    <xf numFmtId="0" fontId="23" fillId="9" borderId="41" xfId="0" applyFont="1" applyFill="1" applyBorder="1">
      <alignment vertical="center"/>
    </xf>
    <xf numFmtId="0" fontId="23" fillId="9" borderId="32" xfId="0" applyFont="1" applyFill="1" applyBorder="1">
      <alignment vertical="center"/>
    </xf>
    <xf numFmtId="0" fontId="23" fillId="0" borderId="46" xfId="0" applyFont="1" applyBorder="1">
      <alignment vertical="center"/>
    </xf>
    <xf numFmtId="0" fontId="23" fillId="0" borderId="42" xfId="0" applyFont="1" applyBorder="1">
      <alignment vertical="center"/>
    </xf>
    <xf numFmtId="0" fontId="23" fillId="0" borderId="34" xfId="0" applyFont="1" applyBorder="1">
      <alignment vertical="center"/>
    </xf>
    <xf numFmtId="0" fontId="25" fillId="8" borderId="21" xfId="0" applyFont="1" applyFill="1" applyBorder="1">
      <alignment vertical="center"/>
    </xf>
    <xf numFmtId="38" fontId="14" fillId="0" borderId="0" xfId="1" applyFont="1" applyBorder="1" applyAlignment="1" applyProtection="1">
      <alignment horizontal="left" vertical="center"/>
    </xf>
    <xf numFmtId="38" fontId="13" fillId="2" borderId="1" xfId="1" applyFont="1" applyFill="1" applyBorder="1" applyAlignment="1" applyProtection="1">
      <alignment horizontal="right" vertical="center"/>
    </xf>
    <xf numFmtId="38" fontId="7" fillId="2" borderId="1" xfId="1" applyFont="1" applyFill="1" applyBorder="1" applyAlignment="1" applyProtection="1">
      <alignment horizontal="right" vertical="center"/>
    </xf>
    <xf numFmtId="38" fontId="13" fillId="2" borderId="1" xfId="1" applyFont="1" applyFill="1" applyBorder="1" applyProtection="1">
      <alignment vertical="center"/>
    </xf>
    <xf numFmtId="38" fontId="7" fillId="2" borderId="1" xfId="1" applyFont="1" applyFill="1" applyBorder="1" applyProtection="1">
      <alignment vertical="center"/>
    </xf>
    <xf numFmtId="38" fontId="13" fillId="0" borderId="1" xfId="1" applyFont="1" applyBorder="1" applyProtection="1">
      <alignment vertical="center"/>
    </xf>
    <xf numFmtId="38" fontId="3" fillId="0" borderId="1" xfId="1" applyFont="1" applyBorder="1" applyProtection="1">
      <alignment vertical="center"/>
    </xf>
    <xf numFmtId="38" fontId="3" fillId="0" borderId="0" xfId="1" applyFont="1" applyBorder="1" applyProtection="1">
      <alignment vertical="center"/>
    </xf>
    <xf numFmtId="38" fontId="3" fillId="0" borderId="7" xfId="1" applyFont="1" applyBorder="1" applyProtection="1">
      <alignment vertical="center"/>
    </xf>
    <xf numFmtId="38" fontId="3" fillId="8" borderId="21" xfId="1" applyFont="1" applyFill="1" applyBorder="1" applyAlignment="1" applyProtection="1">
      <alignment vertical="center"/>
    </xf>
    <xf numFmtId="38" fontId="3" fillId="8" borderId="21" xfId="1" applyFont="1" applyFill="1" applyBorder="1" applyProtection="1">
      <alignment vertical="center"/>
    </xf>
    <xf numFmtId="38" fontId="3" fillId="0" borderId="0" xfId="1" applyFont="1" applyFill="1" applyBorder="1" applyAlignment="1" applyProtection="1">
      <alignment vertical="center"/>
    </xf>
    <xf numFmtId="38" fontId="3" fillId="0" borderId="0" xfId="1" applyFont="1" applyFill="1" applyBorder="1" applyAlignment="1" applyProtection="1">
      <alignment horizontal="center" vertical="center"/>
    </xf>
    <xf numFmtId="38" fontId="3" fillId="8" borderId="1" xfId="1" applyFont="1" applyFill="1" applyBorder="1" applyAlignment="1" applyProtection="1">
      <alignment vertical="center"/>
    </xf>
    <xf numFmtId="0" fontId="6" fillId="0" borderId="0" xfId="0" applyFont="1" applyAlignment="1" applyProtection="1">
      <alignment horizontal="center" vertical="center"/>
    </xf>
    <xf numFmtId="0" fontId="7" fillId="0" borderId="0" xfId="0" applyFont="1" applyProtection="1">
      <alignment vertical="center"/>
    </xf>
    <xf numFmtId="0" fontId="7" fillId="0" borderId="1" xfId="0" applyFont="1" applyBorder="1" applyProtection="1">
      <alignment vertical="center"/>
    </xf>
    <xf numFmtId="0" fontId="0" fillId="0" borderId="0" xfId="0" applyProtection="1">
      <alignment vertical="center"/>
    </xf>
    <xf numFmtId="0" fontId="7" fillId="0" borderId="9" xfId="0" applyFont="1" applyBorder="1" applyProtection="1">
      <alignment vertical="center"/>
    </xf>
    <xf numFmtId="0" fontId="7" fillId="0" borderId="11" xfId="0" applyFont="1" applyBorder="1" applyProtection="1">
      <alignment vertical="center"/>
    </xf>
    <xf numFmtId="0" fontId="13"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0" fontId="20" fillId="0" borderId="0" xfId="0" applyFont="1" applyProtection="1">
      <alignment vertical="center"/>
    </xf>
    <xf numFmtId="0" fontId="7" fillId="2" borderId="0" xfId="0" applyFont="1" applyFill="1" applyProtection="1">
      <alignment vertical="center"/>
    </xf>
    <xf numFmtId="0" fontId="7" fillId="0" borderId="29" xfId="0" applyFont="1" applyBorder="1" applyProtection="1">
      <alignment vertical="center"/>
    </xf>
    <xf numFmtId="0" fontId="7" fillId="0" borderId="2" xfId="0" applyFont="1" applyBorder="1" applyProtection="1">
      <alignment vertical="center"/>
    </xf>
    <xf numFmtId="0" fontId="3" fillId="7" borderId="1" xfId="0" applyFont="1" applyFill="1" applyBorder="1" applyAlignment="1" applyProtection="1">
      <alignment vertical="center" shrinkToFit="1"/>
    </xf>
    <xf numFmtId="0" fontId="3" fillId="7"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3" fillId="2" borderId="0" xfId="0" applyFont="1" applyFill="1" applyAlignment="1" applyProtection="1">
      <alignment horizontal="center" vertical="center" wrapText="1"/>
    </xf>
    <xf numFmtId="0" fontId="0" fillId="0" borderId="1" xfId="0" applyBorder="1" applyProtection="1">
      <alignment vertical="center"/>
    </xf>
    <xf numFmtId="0" fontId="25" fillId="0" borderId="1" xfId="0" applyFont="1" applyBorder="1" applyProtection="1">
      <alignment vertical="center"/>
    </xf>
    <xf numFmtId="0" fontId="4" fillId="0" borderId="29" xfId="0" applyFont="1" applyBorder="1" applyProtection="1">
      <alignment vertical="center"/>
    </xf>
    <xf numFmtId="0" fontId="3" fillId="0" borderId="1" xfId="0" applyFont="1" applyBorder="1" applyAlignment="1" applyProtection="1">
      <alignment horizontal="center" vertical="center"/>
    </xf>
    <xf numFmtId="0" fontId="4" fillId="2" borderId="0" xfId="0" applyFont="1" applyFill="1" applyProtection="1">
      <alignment vertical="center"/>
    </xf>
    <xf numFmtId="0" fontId="4" fillId="0" borderId="0" xfId="0" applyFont="1" applyProtection="1">
      <alignment vertical="center"/>
    </xf>
    <xf numFmtId="38" fontId="4" fillId="0" borderId="0" xfId="0" applyNumberFormat="1" applyFont="1" applyProtection="1">
      <alignment vertical="center"/>
    </xf>
    <xf numFmtId="0" fontId="4" fillId="0" borderId="1" xfId="0" applyFont="1" applyBorder="1" applyProtection="1">
      <alignment vertical="center"/>
    </xf>
    <xf numFmtId="38" fontId="7" fillId="2" borderId="1" xfId="0" applyNumberFormat="1" applyFont="1" applyFill="1" applyBorder="1" applyProtection="1">
      <alignment vertical="center"/>
    </xf>
    <xf numFmtId="0" fontId="7" fillId="2" borderId="1" xfId="0" applyFont="1" applyFill="1" applyBorder="1" applyProtection="1">
      <alignment vertical="center"/>
    </xf>
    <xf numFmtId="0" fontId="7" fillId="0" borderId="0" xfId="0" applyFont="1" applyAlignment="1" applyProtection="1">
      <alignment horizontal="center" vertical="center"/>
    </xf>
    <xf numFmtId="38" fontId="7" fillId="0" borderId="0" xfId="0" applyNumberFormat="1" applyFont="1" applyProtection="1">
      <alignment vertical="center"/>
    </xf>
    <xf numFmtId="0" fontId="7" fillId="2" borderId="0" xfId="0" applyFont="1" applyFill="1" applyAlignment="1" applyProtection="1">
      <alignment horizontal="left" vertical="center"/>
    </xf>
    <xf numFmtId="38" fontId="7" fillId="0" borderId="0" xfId="0" applyNumberFormat="1" applyFont="1" applyAlignment="1" applyProtection="1">
      <alignment horizontal="center" vertical="center"/>
    </xf>
    <xf numFmtId="0" fontId="13" fillId="0" borderId="0" xfId="0" applyFont="1" applyAlignment="1" applyProtection="1"/>
    <xf numFmtId="0" fontId="3" fillId="0" borderId="0" xfId="0" applyFont="1" applyProtection="1">
      <alignment vertical="center"/>
    </xf>
    <xf numFmtId="0" fontId="3" fillId="0" borderId="2" xfId="0" applyFont="1" applyBorder="1" applyProtection="1">
      <alignment vertical="center"/>
    </xf>
    <xf numFmtId="0" fontId="9" fillId="0" borderId="0" xfId="0" applyFont="1" applyFill="1" applyBorder="1" applyAlignment="1" applyProtection="1">
      <alignment horizontal="center" vertical="center"/>
    </xf>
    <xf numFmtId="0" fontId="3" fillId="0" borderId="21" xfId="0" applyFont="1" applyBorder="1" applyAlignment="1" applyProtection="1">
      <alignment horizontal="center" vertical="center"/>
    </xf>
    <xf numFmtId="0" fontId="3" fillId="0" borderId="0" xfId="0" applyFont="1" applyFill="1" applyBorder="1" applyProtection="1">
      <alignment vertical="center"/>
    </xf>
    <xf numFmtId="38" fontId="7" fillId="0" borderId="0" xfId="0" applyNumberFormat="1" applyFont="1" applyAlignment="1" applyProtection="1">
      <alignment horizontal="center" vertical="center" shrinkToFit="1"/>
    </xf>
    <xf numFmtId="0" fontId="7" fillId="0" borderId="0" xfId="0" applyFont="1" applyAlignment="1" applyProtection="1">
      <alignment vertical="center" shrinkToFit="1"/>
    </xf>
    <xf numFmtId="0" fontId="0" fillId="0" borderId="0" xfId="0" applyAlignment="1" applyProtection="1">
      <alignment vertical="center" shrinkToFit="1"/>
    </xf>
    <xf numFmtId="0" fontId="27" fillId="2" borderId="0" xfId="0" applyFont="1" applyFill="1" applyBorder="1" applyAlignment="1" applyProtection="1">
      <alignment horizontal="center" vertical="center"/>
    </xf>
    <xf numFmtId="0" fontId="27" fillId="2" borderId="0" xfId="0" applyFont="1" applyFill="1" applyBorder="1" applyProtection="1">
      <alignment vertical="center"/>
    </xf>
    <xf numFmtId="0" fontId="7" fillId="0" borderId="0" xfId="0" quotePrefix="1" applyFont="1" applyAlignment="1" applyProtection="1">
      <alignment horizontal="center" vertical="center"/>
    </xf>
    <xf numFmtId="0" fontId="22" fillId="0" borderId="0" xfId="0" applyFont="1" applyAlignment="1" applyProtection="1">
      <alignment horizontal="center" vertical="center"/>
    </xf>
    <xf numFmtId="177" fontId="0" fillId="0" borderId="0" xfId="0" applyNumberFormat="1" applyAlignment="1" applyProtection="1">
      <alignment horizontal="center" vertical="center"/>
    </xf>
    <xf numFmtId="177" fontId="7" fillId="0" borderId="0" xfId="0" applyNumberFormat="1" applyFont="1" applyProtection="1">
      <alignment vertical="center"/>
    </xf>
    <xf numFmtId="0" fontId="23" fillId="6" borderId="1" xfId="0" applyFont="1" applyFill="1" applyBorder="1" applyProtection="1">
      <alignment vertical="center"/>
    </xf>
    <xf numFmtId="177" fontId="7" fillId="6" borderId="1" xfId="0"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1" xfId="0" applyFont="1" applyFill="1" applyBorder="1" applyProtection="1">
      <alignment vertical="center"/>
    </xf>
    <xf numFmtId="10" fontId="7" fillId="6" borderId="1" xfId="2" applyNumberFormat="1" applyFont="1" applyFill="1" applyBorder="1" applyAlignment="1" applyProtection="1">
      <alignment horizontal="center" vertical="center"/>
    </xf>
    <xf numFmtId="3" fontId="7" fillId="6" borderId="1" xfId="0" applyNumberFormat="1" applyFont="1" applyFill="1" applyBorder="1" applyAlignment="1" applyProtection="1">
      <alignment horizontal="center" vertical="center"/>
    </xf>
    <xf numFmtId="0" fontId="15" fillId="0" borderId="0" xfId="0" applyFont="1" applyProtection="1">
      <alignment vertical="center"/>
    </xf>
    <xf numFmtId="178" fontId="23" fillId="6" borderId="1" xfId="2" applyNumberFormat="1" applyFont="1" applyFill="1" applyBorder="1" applyAlignment="1" applyProtection="1">
      <alignment horizontal="center" vertical="center"/>
    </xf>
    <xf numFmtId="3" fontId="23" fillId="6" borderId="1" xfId="0" applyNumberFormat="1" applyFont="1" applyFill="1" applyBorder="1" applyAlignment="1" applyProtection="1">
      <alignment horizontal="center" vertical="center"/>
    </xf>
    <xf numFmtId="38" fontId="7" fillId="2" borderId="0" xfId="0" applyNumberFormat="1" applyFont="1" applyFill="1" applyProtection="1">
      <alignment vertical="center"/>
    </xf>
    <xf numFmtId="3" fontId="23" fillId="6" borderId="9" xfId="0" applyNumberFormat="1" applyFont="1" applyFill="1" applyBorder="1" applyAlignment="1" applyProtection="1">
      <alignment horizontal="center" vertical="center"/>
    </xf>
    <xf numFmtId="3" fontId="23" fillId="6" borderId="10" xfId="0" applyNumberFormat="1" applyFont="1" applyFill="1" applyBorder="1" applyAlignment="1" applyProtection="1">
      <alignment horizontal="center" vertical="center"/>
    </xf>
    <xf numFmtId="3" fontId="23" fillId="6" borderId="11" xfId="0" applyNumberFormat="1"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0" xfId="0" applyFont="1" applyFill="1" applyBorder="1" applyAlignment="1" applyProtection="1">
      <alignment horizontal="center" vertical="center"/>
    </xf>
    <xf numFmtId="0" fontId="7" fillId="6" borderId="11" xfId="0" applyFont="1" applyFill="1" applyBorder="1" applyAlignment="1" applyProtection="1">
      <alignment horizontal="center" vertical="center"/>
    </xf>
    <xf numFmtId="0" fontId="7" fillId="0" borderId="24" xfId="0" applyFont="1" applyBorder="1" applyAlignment="1" applyProtection="1">
      <alignment horizontal="center" vertical="center"/>
    </xf>
    <xf numFmtId="0" fontId="5" fillId="0" borderId="0" xfId="0" applyFont="1" applyAlignment="1" applyProtection="1">
      <alignment horizontal="center" vertical="center"/>
    </xf>
    <xf numFmtId="38" fontId="11" fillId="0" borderId="0" xfId="1" applyFont="1" applyBorder="1" applyAlignment="1" applyProtection="1">
      <alignment horizontal="center" vertical="center"/>
    </xf>
    <xf numFmtId="0" fontId="8" fillId="0" borderId="0" xfId="0" applyFont="1" applyAlignment="1" applyProtection="1">
      <alignment horizontal="center" vertical="center"/>
    </xf>
    <xf numFmtId="38" fontId="7" fillId="0" borderId="0" xfId="1" applyFont="1" applyAlignment="1" applyProtection="1">
      <alignment horizontal="center" vertical="center"/>
    </xf>
    <xf numFmtId="38" fontId="12" fillId="3" borderId="3" xfId="1" applyFont="1" applyFill="1" applyBorder="1" applyAlignment="1" applyProtection="1">
      <alignment horizontal="right" vertical="center"/>
    </xf>
    <xf numFmtId="38" fontId="12" fillId="3" borderId="4" xfId="1" applyFont="1" applyFill="1" applyBorder="1" applyAlignment="1" applyProtection="1">
      <alignment horizontal="right" vertical="center"/>
    </xf>
    <xf numFmtId="38" fontId="3" fillId="3" borderId="3" xfId="1" applyFont="1" applyFill="1" applyBorder="1" applyAlignment="1" applyProtection="1">
      <alignment horizontal="right" vertical="center"/>
    </xf>
    <xf numFmtId="38" fontId="3" fillId="3" borderId="4" xfId="1" applyFont="1" applyFill="1" applyBorder="1" applyAlignment="1" applyProtection="1">
      <alignment horizontal="right" vertical="center"/>
    </xf>
    <xf numFmtId="38" fontId="14" fillId="0" borderId="0" xfId="1" applyFont="1" applyBorder="1" applyAlignment="1" applyProtection="1">
      <alignment horizontal="left" vertical="center" wrapText="1"/>
    </xf>
    <xf numFmtId="38" fontId="9" fillId="0" borderId="0" xfId="1" applyFont="1" applyBorder="1" applyAlignment="1" applyProtection="1">
      <alignment horizontal="left" vertical="center" wrapText="1"/>
    </xf>
    <xf numFmtId="0" fontId="15" fillId="0" borderId="0" xfId="0" applyFont="1" applyAlignment="1" applyProtection="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8" fontId="0" fillId="0" borderId="21" xfId="1" applyFont="1" applyBorder="1" applyAlignment="1">
      <alignment horizontal="center" vertical="center"/>
    </xf>
    <xf numFmtId="38" fontId="0" fillId="0" borderId="22" xfId="1" applyFont="1" applyBorder="1" applyAlignment="1">
      <alignment horizontal="center" vertical="center"/>
    </xf>
    <xf numFmtId="38" fontId="0" fillId="0" borderId="23" xfId="1" applyFont="1" applyBorder="1" applyAlignment="1">
      <alignment horizontal="center" vertical="center"/>
    </xf>
    <xf numFmtId="0" fontId="0" fillId="0" borderId="1" xfId="0" applyBorder="1" applyAlignment="1">
      <alignment horizontal="left" vertical="center"/>
    </xf>
    <xf numFmtId="0" fontId="0" fillId="0" borderId="28" xfId="0" applyBorder="1" applyAlignment="1">
      <alignment horizontal="center" vertical="center"/>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1" xfId="0" applyFont="1" applyBorder="1" applyAlignment="1" applyProtection="1">
      <alignment horizontal="left" vertical="center"/>
      <protection hidden="1"/>
    </xf>
    <xf numFmtId="0" fontId="7" fillId="0" borderId="9" xfId="0" applyFont="1" applyBorder="1" applyAlignment="1" applyProtection="1">
      <alignment horizontal="left" vertical="top" wrapText="1" shrinkToFit="1"/>
      <protection hidden="1"/>
    </xf>
    <xf numFmtId="0" fontId="7" fillId="0" borderId="10" xfId="0" applyFont="1" applyBorder="1" applyAlignment="1" applyProtection="1">
      <alignment horizontal="left" vertical="top" shrinkToFit="1"/>
      <protection hidden="1"/>
    </xf>
    <xf numFmtId="0" fontId="7" fillId="0" borderId="11" xfId="0" applyFont="1" applyBorder="1" applyAlignment="1" applyProtection="1">
      <alignment horizontal="left" vertical="top" shrinkToFit="1"/>
      <protection hidden="1"/>
    </xf>
    <xf numFmtId="0" fontId="0" fillId="3" borderId="10" xfId="0" applyFill="1" applyBorder="1" applyAlignment="1" applyProtection="1">
      <alignment horizontal="center" vertical="center"/>
      <protection locked="0" hidden="1"/>
    </xf>
    <xf numFmtId="0" fontId="0" fillId="3" borderId="11" xfId="0" applyFill="1" applyBorder="1" applyAlignment="1" applyProtection="1">
      <alignment horizontal="center" vertical="center"/>
      <protection locked="0" hidden="1"/>
    </xf>
    <xf numFmtId="0" fontId="0" fillId="0" borderId="0" xfId="0" applyAlignment="1" applyProtection="1">
      <alignment horizontal="center" vertical="center"/>
      <protection hidden="1"/>
    </xf>
    <xf numFmtId="176" fontId="0" fillId="3" borderId="9" xfId="0" applyNumberFormat="1" applyFill="1" applyBorder="1" applyAlignment="1" applyProtection="1">
      <alignment horizontal="center" vertical="center"/>
      <protection locked="0" hidden="1"/>
    </xf>
    <xf numFmtId="176" fontId="0" fillId="3" borderId="11" xfId="0" applyNumberFormat="1" applyFill="1" applyBorder="1" applyAlignment="1" applyProtection="1">
      <alignment horizontal="center" vertical="center"/>
      <protection locked="0" hidden="1"/>
    </xf>
    <xf numFmtId="0" fontId="0" fillId="0" borderId="1" xfId="0" applyBorder="1" applyAlignment="1" applyProtection="1">
      <alignment horizontal="left" vertical="center" wrapText="1"/>
      <protection hidden="1"/>
    </xf>
    <xf numFmtId="176" fontId="0" fillId="3" borderId="1" xfId="0" applyNumberFormat="1" applyFill="1" applyBorder="1" applyAlignment="1" applyProtection="1">
      <alignment horizontal="center" vertical="center"/>
      <protection locked="0" hidden="1"/>
    </xf>
    <xf numFmtId="0" fontId="0" fillId="0" borderId="0" xfId="0" applyAlignment="1">
      <alignment horizontal="left" vertical="center" shrinkToFit="1"/>
    </xf>
    <xf numFmtId="0" fontId="0" fillId="0" borderId="0" xfId="0"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DFFDA"/>
      <color rgb="FFFFFFCC"/>
      <color rgb="FFDCFECE"/>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819150</xdr:colOff>
      <xdr:row>25</xdr:row>
      <xdr:rowOff>273050</xdr:rowOff>
    </xdr:from>
    <xdr:to>
      <xdr:col>5</xdr:col>
      <xdr:colOff>1435100</xdr:colOff>
      <xdr:row>26</xdr:row>
      <xdr:rowOff>520700</xdr:rowOff>
    </xdr:to>
    <xdr:sp macro="" textlink="">
      <xdr:nvSpPr>
        <xdr:cNvPr id="3" name="ストライプ矢印 2">
          <a:extLst>
            <a:ext uri="{FF2B5EF4-FFF2-40B4-BE49-F238E27FC236}">
              <a16:creationId xmlns:a16="http://schemas.microsoft.com/office/drawing/2014/main" id="{00000000-0008-0000-0000-000003000000}"/>
            </a:ext>
          </a:extLst>
        </xdr:cNvPr>
        <xdr:cNvSpPr/>
      </xdr:nvSpPr>
      <xdr:spPr>
        <a:xfrm>
          <a:off x="6699250" y="6242050"/>
          <a:ext cx="615950" cy="577850"/>
        </a:xfrm>
        <a:prstGeom prst="stripedRightArrow">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25</xdr:row>
      <xdr:rowOff>241300</xdr:rowOff>
    </xdr:from>
    <xdr:to>
      <xdr:col>5</xdr:col>
      <xdr:colOff>660400</xdr:colOff>
      <xdr:row>27</xdr:row>
      <xdr:rowOff>88900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19100" y="6210300"/>
          <a:ext cx="6121400" cy="723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200" b="1">
              <a:latin typeface="HG丸ｺﾞｼｯｸM-PRO" panose="020F0600000000000000" pitchFamily="50" charset="-128"/>
              <a:ea typeface="HG丸ｺﾞｼｯｸM-PRO" panose="020F0600000000000000" pitchFamily="50" charset="-128"/>
            </a:rPr>
            <a:t>１年間加入した場合の国民健康保険税試算額</a:t>
          </a:r>
          <a:endParaRPr kumimoji="1" lang="en-US" altLang="ja-JP" sz="2200" b="1">
            <a:latin typeface="HG丸ｺﾞｼｯｸM-PRO" panose="020F0600000000000000" pitchFamily="50" charset="-128"/>
            <a:ea typeface="HG丸ｺﾞｼｯｸM-PRO" panose="020F0600000000000000" pitchFamily="50" charset="-128"/>
          </a:endParaRPr>
        </a:p>
        <a:p>
          <a:pPr algn="l"/>
          <a:endParaRPr kumimoji="1" lang="ja-JP" altLang="en-US" sz="2200" b="1"/>
        </a:p>
      </xdr:txBody>
    </xdr:sp>
    <xdr:clientData/>
  </xdr:twoCellAnchor>
  <xdr:twoCellAnchor>
    <xdr:from>
      <xdr:col>9</xdr:col>
      <xdr:colOff>165100</xdr:colOff>
      <xdr:row>12</xdr:row>
      <xdr:rowOff>185058</xdr:rowOff>
    </xdr:from>
    <xdr:to>
      <xdr:col>32</xdr:col>
      <xdr:colOff>544286</xdr:colOff>
      <xdr:row>23</xdr:row>
      <xdr:rowOff>185058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831614" y="3058887"/>
          <a:ext cx="3438072" cy="295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公的年金等控除額は、１月１日時点の年齢が６５歳か６４歳かで控除額区分が異なるため、６４歳</a:t>
          </a:r>
          <a:r>
            <a:rPr kumimoji="1" lang="en-US" altLang="ja-JP" sz="1200"/>
            <a:t>~</a:t>
          </a:r>
          <a:r>
            <a:rPr kumimoji="1" lang="ja-JP" altLang="en-US" sz="1200"/>
            <a:t>６５歳付近の方の試算は</a:t>
          </a:r>
          <a:r>
            <a:rPr kumimoji="1" lang="ja-JP" altLang="en-US" sz="1400"/>
            <a:t>注意</a:t>
          </a:r>
          <a:r>
            <a:rPr kumimoji="1" lang="ja-JP" altLang="en-US" sz="1200"/>
            <a:t>してください。</a:t>
          </a:r>
          <a:endParaRPr kumimoji="1" lang="en-US" altLang="ja-JP" sz="1200"/>
        </a:p>
        <a:p>
          <a:r>
            <a:rPr kumimoji="1" lang="ja-JP" altLang="en-US" sz="1200"/>
            <a:t>また、介護保険も月単位であるため、この試算シートでは正確な税額は算出できない可能性があります。</a:t>
          </a:r>
          <a:endParaRPr kumimoji="1" lang="en-US" altLang="ja-JP" sz="1200"/>
        </a:p>
        <a:p>
          <a:endParaRPr kumimoji="1" lang="en-US" altLang="ja-JP" sz="1200"/>
        </a:p>
        <a:p>
          <a:r>
            <a:rPr kumimoji="1" lang="ja-JP" altLang="en-US" sz="1200"/>
            <a:t>　公的年金等控除額については・・・</a:t>
          </a:r>
          <a:endParaRPr kumimoji="1" lang="en-US" altLang="ja-JP" sz="1200"/>
        </a:p>
        <a:p>
          <a:r>
            <a:rPr kumimoji="1" lang="ja-JP" altLang="en-US" sz="1200"/>
            <a:t>　●年金収入あり　６４歳</a:t>
          </a:r>
          <a:r>
            <a:rPr kumimoji="1" lang="en-US" altLang="ja-JP" sz="1200"/>
            <a:t>~</a:t>
          </a:r>
          <a:r>
            <a:rPr kumimoji="1" lang="ja-JP" altLang="en-US" sz="1200"/>
            <a:t>６５歳の者</a:t>
          </a:r>
          <a:endParaRPr kumimoji="1" lang="en-US" altLang="ja-JP" sz="1200"/>
        </a:p>
        <a:p>
          <a:endParaRPr kumimoji="1" lang="en-US" altLang="ja-JP" sz="1200"/>
        </a:p>
        <a:p>
          <a:r>
            <a:rPr kumimoji="1" lang="ja-JP" altLang="en-US" sz="1200"/>
            <a:t>　介護納付金の国保税額については・・・</a:t>
          </a:r>
          <a:endParaRPr kumimoji="1" lang="en-US" altLang="ja-JP" sz="1200"/>
        </a:p>
        <a:p>
          <a:r>
            <a:rPr kumimoji="1" lang="ja-JP" altLang="en-US" sz="1200"/>
            <a:t>　●介護保険　　　３９歳</a:t>
          </a:r>
          <a:r>
            <a:rPr kumimoji="1" lang="en-US" altLang="ja-JP" sz="1200"/>
            <a:t>~</a:t>
          </a:r>
          <a:r>
            <a:rPr kumimoji="1" lang="ja-JP" altLang="en-US" sz="1200"/>
            <a:t>４０歳の者</a:t>
          </a:r>
          <a:endParaRPr kumimoji="1" lang="en-US" altLang="ja-JP" sz="1200"/>
        </a:p>
        <a:p>
          <a:r>
            <a:rPr kumimoji="1" lang="ja-JP" altLang="en-US" sz="1200"/>
            <a:t>　●介護保険　　　６４歳</a:t>
          </a:r>
          <a:r>
            <a:rPr kumimoji="1" lang="en-US" altLang="ja-JP" sz="1200"/>
            <a:t>~</a:t>
          </a:r>
          <a:r>
            <a:rPr kumimoji="1" lang="ja-JP" altLang="en-US" sz="1200"/>
            <a:t>６５歳の者</a:t>
          </a:r>
          <a:r>
            <a:rPr kumimoji="1" lang="ja-JP" altLang="en-US" sz="1100"/>
            <a:t>　</a:t>
          </a:r>
        </a:p>
      </xdr:txBody>
    </xdr:sp>
    <xdr:clientData fLocksWithSheet="0"/>
  </xdr:twoCellAnchor>
  <xdr:twoCellAnchor>
    <xdr:from>
      <xdr:col>1</xdr:col>
      <xdr:colOff>167640</xdr:colOff>
      <xdr:row>25</xdr:row>
      <xdr:rowOff>231140</xdr:rowOff>
    </xdr:from>
    <xdr:to>
      <xdr:col>5</xdr:col>
      <xdr:colOff>701040</xdr:colOff>
      <xdr:row>27</xdr:row>
      <xdr:rowOff>78740</xdr:rowOff>
    </xdr:to>
    <xdr:sp macro="" textlink="">
      <xdr:nvSpPr>
        <xdr:cNvPr id="8" name="正方形/長方形 7">
          <a:extLst>
            <a:ext uri="{FF2B5EF4-FFF2-40B4-BE49-F238E27FC236}">
              <a16:creationId xmlns:a16="http://schemas.microsoft.com/office/drawing/2014/main" id="{6036FDDD-D776-43B2-BB11-98EBCF57E985}"/>
            </a:ext>
          </a:extLst>
        </xdr:cNvPr>
        <xdr:cNvSpPr/>
      </xdr:nvSpPr>
      <xdr:spPr>
        <a:xfrm>
          <a:off x="431800" y="6614160"/>
          <a:ext cx="5572760" cy="6172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200" b="1">
              <a:latin typeface="HG丸ｺﾞｼｯｸM-PRO" panose="020F0600000000000000" pitchFamily="50" charset="-128"/>
              <a:ea typeface="HG丸ｺﾞｼｯｸM-PRO" panose="020F0600000000000000" pitchFamily="50" charset="-128"/>
            </a:rPr>
            <a:t>１年間加入した場合の国民健康保険税試算額</a:t>
          </a:r>
          <a:endParaRPr kumimoji="1" lang="en-US" altLang="ja-JP" sz="2200" b="1">
            <a:latin typeface="HG丸ｺﾞｼｯｸM-PRO" panose="020F0600000000000000" pitchFamily="50" charset="-128"/>
            <a:ea typeface="HG丸ｺﾞｼｯｸM-PRO" panose="020F0600000000000000" pitchFamily="50" charset="-128"/>
          </a:endParaRPr>
        </a:p>
        <a:p>
          <a:pPr algn="l"/>
          <a:endParaRPr kumimoji="1" lang="ja-JP" altLang="en-US" sz="2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057775"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00125" y="428625"/>
          <a:ext cx="647700"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1733550</xdr:colOff>
      <xdr:row>2</xdr:row>
      <xdr:rowOff>19050</xdr:rowOff>
    </xdr:from>
    <xdr:to>
      <xdr:col>6</xdr:col>
      <xdr:colOff>352425</xdr:colOff>
      <xdr:row>3</xdr:row>
      <xdr:rowOff>9525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600700" y="447675"/>
          <a:ext cx="990600" cy="257175"/>
        </a:xfrm>
        <a:prstGeom prst="rect">
          <a:avLst/>
        </a:prstGeom>
        <a:solidFill>
          <a:srgbClr val="00B0F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xdr:row>
      <xdr:rowOff>0</xdr:rowOff>
    </xdr:from>
    <xdr:to>
      <xdr:col>3</xdr:col>
      <xdr:colOff>0</xdr:colOff>
      <xdr:row>2</xdr:row>
      <xdr:rowOff>257175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1000125" y="428625"/>
          <a:ext cx="866775" cy="257175"/>
        </a:xfrm>
        <a:prstGeom prst="rect">
          <a:avLst/>
        </a:prstGeom>
        <a:solidFill>
          <a:srgbClr val="FFFF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Z59"/>
  <sheetViews>
    <sheetView showGridLines="0" tabSelected="1" view="pageBreakPreview" zoomScale="70" zoomScaleNormal="100" zoomScaleSheetLayoutView="70" workbookViewId="0">
      <selection activeCell="F20" sqref="F20"/>
    </sheetView>
  </sheetViews>
  <sheetFormatPr defaultColWidth="9" defaultRowHeight="13.2" x14ac:dyDescent="0.2"/>
  <cols>
    <col min="1" max="1" width="3.88671875" style="145" customWidth="1"/>
    <col min="2" max="2" width="14.33203125" style="145" customWidth="1"/>
    <col min="3" max="3" width="15.77734375" style="145" customWidth="1"/>
    <col min="4" max="4" width="21.6640625" style="145" customWidth="1"/>
    <col min="5" max="7" width="21.6640625" style="1" customWidth="1"/>
    <col min="8" max="8" width="8.6640625" style="145" customWidth="1"/>
    <col min="9" max="9" width="11.33203125" style="145" customWidth="1"/>
    <col min="10" max="10" width="3.21875" style="145" customWidth="1"/>
    <col min="11" max="11" width="3.33203125" style="1" customWidth="1"/>
    <col min="12" max="12" width="2.44140625" style="145" customWidth="1"/>
    <col min="13" max="13" width="17.6640625" style="145" customWidth="1"/>
    <col min="14" max="14" width="12.44140625" style="145" hidden="1" customWidth="1"/>
    <col min="15" max="15" width="9.44140625" style="145" hidden="1" customWidth="1"/>
    <col min="16" max="16" width="11.33203125" style="145" hidden="1" customWidth="1"/>
    <col min="17" max="17" width="17.109375" style="145" hidden="1" customWidth="1"/>
    <col min="18" max="18" width="18.109375" style="145" hidden="1" customWidth="1"/>
    <col min="19" max="19" width="13.109375" style="145" hidden="1" customWidth="1"/>
    <col min="20" max="21" width="19.6640625" style="145" hidden="1" customWidth="1"/>
    <col min="22" max="22" width="12.33203125" style="147" hidden="1" customWidth="1"/>
    <col min="23" max="23" width="11" style="147" hidden="1" customWidth="1"/>
    <col min="24" max="24" width="23.109375" style="147" hidden="1" customWidth="1"/>
    <col min="25" max="25" width="24.6640625" style="147" hidden="1" customWidth="1"/>
    <col min="26" max="26" width="14.88671875" style="147" hidden="1" customWidth="1"/>
    <col min="27" max="30" width="0" style="147" hidden="1" customWidth="1"/>
    <col min="31" max="16384" width="9" style="147"/>
  </cols>
  <sheetData>
    <row r="1" spans="1:20" ht="13.5" customHeight="1" x14ac:dyDescent="0.2">
      <c r="A1" s="207" t="s">
        <v>259</v>
      </c>
      <c r="B1" s="207"/>
      <c r="C1" s="207"/>
      <c r="D1" s="207"/>
      <c r="E1" s="207"/>
      <c r="F1" s="207"/>
      <c r="G1" s="207"/>
      <c r="H1" s="207"/>
      <c r="I1" s="144"/>
      <c r="J1" s="144"/>
      <c r="Q1" s="146"/>
      <c r="R1" s="135" t="s">
        <v>28</v>
      </c>
      <c r="S1" s="138"/>
      <c r="T1" s="146" t="s">
        <v>153</v>
      </c>
    </row>
    <row r="2" spans="1:20" ht="22.5" customHeight="1" x14ac:dyDescent="0.2">
      <c r="A2" s="207"/>
      <c r="B2" s="207"/>
      <c r="C2" s="207"/>
      <c r="D2" s="207"/>
      <c r="E2" s="207"/>
      <c r="F2" s="207"/>
      <c r="G2" s="207"/>
      <c r="H2" s="207"/>
      <c r="I2" s="144"/>
      <c r="J2" s="144"/>
      <c r="Q2" s="136" t="s">
        <v>223</v>
      </c>
      <c r="R2" s="146">
        <f>COUNTIF(D19:D25,"０～６歳")</f>
        <v>0</v>
      </c>
      <c r="S2" s="137"/>
      <c r="T2" s="146"/>
    </row>
    <row r="3" spans="1:20" ht="22.5" customHeight="1" thickBot="1" x14ac:dyDescent="0.25">
      <c r="A3" s="207"/>
      <c r="B3" s="207"/>
      <c r="C3" s="207"/>
      <c r="D3" s="207"/>
      <c r="E3" s="207"/>
      <c r="F3" s="207"/>
      <c r="G3" s="207"/>
      <c r="H3" s="207"/>
      <c r="I3" s="144"/>
      <c r="J3" s="144"/>
      <c r="Q3" s="136" t="s">
        <v>254</v>
      </c>
      <c r="R3" s="146">
        <f>COUNTIF(D19:D25,"７～１８歳")</f>
        <v>0</v>
      </c>
      <c r="S3" s="137"/>
      <c r="T3" s="146"/>
    </row>
    <row r="4" spans="1:20" ht="25.5" customHeight="1" thickBot="1" x14ac:dyDescent="0.25">
      <c r="A4" s="207"/>
      <c r="B4" s="207"/>
      <c r="C4" s="207"/>
      <c r="D4" s="207"/>
      <c r="E4" s="207"/>
      <c r="F4" s="207"/>
      <c r="G4" s="207"/>
      <c r="H4" s="207"/>
      <c r="I4" s="144"/>
      <c r="J4" s="144"/>
      <c r="Q4" s="136" t="s">
        <v>255</v>
      </c>
      <c r="R4" s="148">
        <f>COUNTIF(D19:D25,"１９～３９歳")</f>
        <v>0</v>
      </c>
      <c r="S4" s="206">
        <f>SUM(R4:R6)</f>
        <v>0</v>
      </c>
      <c r="T4" s="149" t="s">
        <v>154</v>
      </c>
    </row>
    <row r="5" spans="1:20" ht="21" customHeight="1" thickBot="1" x14ac:dyDescent="0.25">
      <c r="A5" s="150"/>
      <c r="B5" s="150" t="s">
        <v>20</v>
      </c>
      <c r="C5" s="150"/>
      <c r="D5" s="150"/>
      <c r="E5" s="150"/>
      <c r="F5" s="150"/>
      <c r="G5" s="150"/>
      <c r="H5" s="150"/>
      <c r="I5" s="150"/>
      <c r="J5" s="151"/>
      <c r="K5" s="151"/>
      <c r="L5" s="151"/>
      <c r="M5" s="151"/>
      <c r="Q5" s="136" t="s">
        <v>24</v>
      </c>
      <c r="R5" s="148">
        <f>COUNTIF(D19:D25,"４０～６４歳")</f>
        <v>0</v>
      </c>
      <c r="S5" s="206"/>
      <c r="T5" s="149" t="s">
        <v>155</v>
      </c>
    </row>
    <row r="6" spans="1:20" ht="22.5" customHeight="1" thickBot="1" x14ac:dyDescent="0.25">
      <c r="A6" s="150" t="s">
        <v>12</v>
      </c>
      <c r="B6" s="150"/>
      <c r="C6" s="150"/>
      <c r="D6" s="150"/>
      <c r="E6" s="8"/>
      <c r="F6" s="8"/>
      <c r="G6" s="8"/>
      <c r="H6" s="150"/>
      <c r="I6" s="150"/>
      <c r="Q6" s="136" t="s">
        <v>25</v>
      </c>
      <c r="R6" s="148">
        <f>COUNTIF(D19:D25,"６５歳～")</f>
        <v>0</v>
      </c>
      <c r="S6" s="206"/>
      <c r="T6" s="149"/>
    </row>
    <row r="7" spans="1:20" ht="19.2" x14ac:dyDescent="0.2">
      <c r="A7" s="150" t="s">
        <v>156</v>
      </c>
      <c r="B7" s="150"/>
      <c r="C7" s="150"/>
      <c r="D7" s="150"/>
      <c r="E7" s="8"/>
      <c r="F7" s="8"/>
      <c r="G7" s="8"/>
      <c r="H7" s="150"/>
      <c r="I7" s="150"/>
      <c r="Q7" s="136" t="s">
        <v>32</v>
      </c>
      <c r="R7" s="146">
        <f>SUM(R2:R6)</f>
        <v>0</v>
      </c>
      <c r="S7" s="152"/>
      <c r="T7" s="146"/>
    </row>
    <row r="8" spans="1:20" ht="16.2" x14ac:dyDescent="0.2">
      <c r="A8" s="150" t="s">
        <v>157</v>
      </c>
      <c r="B8" s="150"/>
      <c r="C8" s="150"/>
      <c r="D8" s="150"/>
      <c r="E8" s="8"/>
      <c r="F8" s="8"/>
      <c r="G8" s="8"/>
      <c r="H8" s="150"/>
      <c r="I8" s="150"/>
      <c r="Q8" s="147"/>
    </row>
    <row r="9" spans="1:20" ht="16.2" x14ac:dyDescent="0.2">
      <c r="A9" s="150" t="s">
        <v>145</v>
      </c>
      <c r="B9" s="150" t="s">
        <v>158</v>
      </c>
      <c r="C9" s="150"/>
      <c r="D9" s="150"/>
      <c r="E9" s="8"/>
      <c r="F9" s="8"/>
      <c r="G9" s="8"/>
      <c r="H9" s="150"/>
      <c r="I9" s="150"/>
      <c r="Q9" s="147"/>
    </row>
    <row r="10" spans="1:20" ht="16.2" x14ac:dyDescent="0.2">
      <c r="A10" s="150" t="s">
        <v>203</v>
      </c>
      <c r="B10" s="150"/>
      <c r="C10" s="150"/>
      <c r="D10" s="150"/>
      <c r="E10" s="8"/>
      <c r="F10" s="8"/>
      <c r="G10" s="8"/>
      <c r="H10" s="150"/>
      <c r="I10" s="150"/>
      <c r="Q10" s="147"/>
    </row>
    <row r="11" spans="1:20" ht="16.2" x14ac:dyDescent="0.2">
      <c r="A11" s="150" t="s">
        <v>204</v>
      </c>
      <c r="B11" s="150"/>
      <c r="C11" s="150"/>
      <c r="D11" s="150"/>
      <c r="E11" s="8"/>
      <c r="F11" s="8"/>
      <c r="G11" s="8"/>
      <c r="H11" s="150"/>
      <c r="I11" s="150"/>
      <c r="Q11" s="147"/>
    </row>
    <row r="12" spans="1:20" ht="16.2" x14ac:dyDescent="0.2">
      <c r="A12" s="150"/>
      <c r="B12" s="153" t="s">
        <v>209</v>
      </c>
      <c r="C12" s="150"/>
      <c r="D12" s="150"/>
      <c r="E12" s="8"/>
      <c r="F12" s="8"/>
      <c r="G12" s="8"/>
      <c r="H12" s="150"/>
      <c r="I12" s="150"/>
      <c r="Q12" s="147"/>
    </row>
    <row r="13" spans="1:20" ht="16.2" x14ac:dyDescent="0.2">
      <c r="A13" s="150"/>
      <c r="B13" s="153" t="s">
        <v>210</v>
      </c>
      <c r="C13" s="150"/>
      <c r="D13" s="150"/>
      <c r="E13" s="8"/>
      <c r="F13" s="8"/>
      <c r="G13" s="8"/>
      <c r="H13" s="150"/>
      <c r="I13" s="150"/>
      <c r="Q13" s="147"/>
    </row>
    <row r="14" spans="1:20" ht="18.75" customHeight="1" x14ac:dyDescent="0.2">
      <c r="A14" s="150"/>
      <c r="B14" s="153" t="s">
        <v>211</v>
      </c>
      <c r="C14" s="150"/>
      <c r="D14" s="150"/>
      <c r="E14" s="8"/>
      <c r="F14" s="8"/>
      <c r="G14" s="8"/>
      <c r="H14" s="150"/>
      <c r="I14" s="150"/>
      <c r="Q14" s="147"/>
    </row>
    <row r="15" spans="1:20" ht="9.9" hidden="1" customHeight="1" x14ac:dyDescent="0.2">
      <c r="D15" s="147"/>
    </row>
    <row r="16" spans="1:20" ht="18.75" customHeight="1" x14ac:dyDescent="0.2">
      <c r="A16" s="150" t="s">
        <v>249</v>
      </c>
      <c r="D16" s="147"/>
      <c r="R16" s="145" t="s">
        <v>252</v>
      </c>
    </row>
    <row r="17" spans="1:26" ht="9.9" customHeight="1" x14ac:dyDescent="0.2">
      <c r="D17" s="147"/>
      <c r="F17" s="2"/>
      <c r="I17" s="154"/>
      <c r="J17" s="154"/>
    </row>
    <row r="18" spans="1:26" ht="19.2" x14ac:dyDescent="0.2">
      <c r="A18" s="155"/>
      <c r="B18" s="156"/>
      <c r="C18" s="157" t="s">
        <v>245</v>
      </c>
      <c r="D18" s="158" t="s">
        <v>246</v>
      </c>
      <c r="E18" s="94" t="s">
        <v>183</v>
      </c>
      <c r="F18" s="94" t="s">
        <v>247</v>
      </c>
      <c r="G18" s="94" t="s">
        <v>4</v>
      </c>
      <c r="H18" s="159" t="s">
        <v>248</v>
      </c>
      <c r="I18" s="160"/>
      <c r="J18" s="1"/>
      <c r="K18" s="145"/>
      <c r="Q18" s="146"/>
      <c r="R18" s="146" t="s">
        <v>250</v>
      </c>
      <c r="S18" s="146" t="s">
        <v>30</v>
      </c>
      <c r="T18" s="146" t="s">
        <v>29</v>
      </c>
      <c r="U18" s="161" t="s">
        <v>195</v>
      </c>
      <c r="V18" s="161" t="s">
        <v>31</v>
      </c>
      <c r="W18" s="162" t="s">
        <v>242</v>
      </c>
      <c r="X18" s="161" t="s">
        <v>253</v>
      </c>
      <c r="Y18" s="161"/>
      <c r="Z18" s="161" t="s">
        <v>251</v>
      </c>
    </row>
    <row r="19" spans="1:26" s="166" customFormat="1" ht="30" customHeight="1" x14ac:dyDescent="0.2">
      <c r="A19" s="163"/>
      <c r="B19" s="164" t="s">
        <v>5</v>
      </c>
      <c r="C19" s="101"/>
      <c r="D19" s="45"/>
      <c r="E19" s="46"/>
      <c r="F19" s="46"/>
      <c r="G19" s="46"/>
      <c r="H19" s="47"/>
      <c r="I19" s="165"/>
      <c r="J19" s="3"/>
      <c r="N19" s="167"/>
      <c r="Q19" s="168" t="s">
        <v>5</v>
      </c>
      <c r="R19" s="131" t="str">
        <f>'加入者(1)'!$F$24</f>
        <v>0</v>
      </c>
      <c r="S19" s="132" t="str">
        <f>IF(D19=$Q$6,R19,IF(H19="該当",計算シート１!C24*0.3-('加入者(1)'!F15+'加入者(1)'!F21),R19))</f>
        <v>0</v>
      </c>
      <c r="T19" s="133" t="b">
        <f>IF(D19="４０～６４歳",'加入者(1)'!F25)</f>
        <v>0</v>
      </c>
      <c r="U19" s="134" t="b">
        <f>IF(D19="６５歳～",'加入者(1)'!F25)</f>
        <v>0</v>
      </c>
      <c r="V19" s="169">
        <f>IF(D19&lt;&gt;"",S19+T19+U19+G19,0)</f>
        <v>0</v>
      </c>
      <c r="W19" s="170">
        <f t="shared" ref="W19:W25" si="0">IF(V19&gt;=$T$51,V19-$T$51,0)</f>
        <v>0</v>
      </c>
      <c r="X19" s="170">
        <f t="shared" ref="X19:X25" si="1">IF(D19="４０～６４歳",W19,0)</f>
        <v>0</v>
      </c>
      <c r="Y19" s="170"/>
      <c r="Z19" s="168">
        <f>計算シート１!C24</f>
        <v>0</v>
      </c>
    </row>
    <row r="20" spans="1:26" s="166" customFormat="1" ht="30" customHeight="1" x14ac:dyDescent="0.2">
      <c r="A20" s="163"/>
      <c r="B20" s="164" t="s">
        <v>6</v>
      </c>
      <c r="C20" s="101"/>
      <c r="D20" s="45"/>
      <c r="E20" s="46"/>
      <c r="F20" s="46"/>
      <c r="G20" s="46"/>
      <c r="H20" s="47"/>
      <c r="I20" s="165"/>
      <c r="J20" s="3"/>
      <c r="N20" s="167"/>
      <c r="Q20" s="168" t="s">
        <v>6</v>
      </c>
      <c r="R20" s="131" t="str">
        <f>'加入者(2)'!$F$24</f>
        <v>0</v>
      </c>
      <c r="S20" s="132" t="str">
        <f>IF(D20=$Q$6,R20,IF(H20="該当",計算シート１!#REF!*0.3-('加入者(1)'!F16+'加入者(1)'!F22),R20))</f>
        <v>0</v>
      </c>
      <c r="T20" s="133" t="b">
        <f>IF(D20="４０～６４歳",'加入者(2)'!F25)</f>
        <v>0</v>
      </c>
      <c r="U20" s="134" t="b">
        <f>IF(D20="６５歳～",'加入者(2)'!F25)</f>
        <v>0</v>
      </c>
      <c r="V20" s="169">
        <f t="shared" ref="V20:V25" si="2">IF(D20&lt;&gt;"",S20+T20+U20+G20,0)</f>
        <v>0</v>
      </c>
      <c r="W20" s="170">
        <f t="shared" si="0"/>
        <v>0</v>
      </c>
      <c r="X20" s="170">
        <f t="shared" si="1"/>
        <v>0</v>
      </c>
      <c r="Y20" s="170"/>
      <c r="Z20" s="168">
        <f>計算シート12!C24</f>
        <v>0</v>
      </c>
    </row>
    <row r="21" spans="1:26" s="166" customFormat="1" ht="30" customHeight="1" x14ac:dyDescent="0.2">
      <c r="A21" s="163"/>
      <c r="B21" s="164" t="s">
        <v>7</v>
      </c>
      <c r="C21" s="101"/>
      <c r="D21" s="45"/>
      <c r="E21" s="46"/>
      <c r="F21" s="46"/>
      <c r="G21" s="46"/>
      <c r="H21" s="47"/>
      <c r="I21" s="165"/>
      <c r="J21" s="3"/>
      <c r="N21" s="167"/>
      <c r="Q21" s="168" t="s">
        <v>7</v>
      </c>
      <c r="R21" s="131" t="str">
        <f>'加入者(3)'!$F$24</f>
        <v>0</v>
      </c>
      <c r="S21" s="132" t="str">
        <f>IF(D21=$Q$6,R21,IF(H21="該当",計算シート１!#REF!*0.3-('加入者(1)'!F17+'加入者(1)'!F23),R21))</f>
        <v>0</v>
      </c>
      <c r="T21" s="133" t="b">
        <f>IF(D21="４０～６４歳",'加入者(3)'!F25)</f>
        <v>0</v>
      </c>
      <c r="U21" s="134" t="b">
        <f>IF(D21="６５歳～",'加入者(3)'!F25)</f>
        <v>0</v>
      </c>
      <c r="V21" s="169">
        <f t="shared" si="2"/>
        <v>0</v>
      </c>
      <c r="W21" s="170">
        <f t="shared" si="0"/>
        <v>0</v>
      </c>
      <c r="X21" s="170">
        <f t="shared" si="1"/>
        <v>0</v>
      </c>
      <c r="Y21" s="170"/>
      <c r="Z21" s="168">
        <f>計算シート13!C24</f>
        <v>0</v>
      </c>
    </row>
    <row r="22" spans="1:26" s="166" customFormat="1" ht="30" customHeight="1" x14ac:dyDescent="0.2">
      <c r="A22" s="163"/>
      <c r="B22" s="164" t="s">
        <v>8</v>
      </c>
      <c r="C22" s="101"/>
      <c r="D22" s="45"/>
      <c r="E22" s="46"/>
      <c r="F22" s="46"/>
      <c r="G22" s="46"/>
      <c r="H22" s="47"/>
      <c r="I22" s="165"/>
      <c r="J22" s="3"/>
      <c r="N22" s="167"/>
      <c r="Q22" s="168" t="s">
        <v>8</v>
      </c>
      <c r="R22" s="131" t="str">
        <f>'加入者(4)'!$F$24</f>
        <v>0</v>
      </c>
      <c r="S22" s="132" t="str">
        <f>IF(D22=$Q$6,R22,IF(H22="該当",計算シート１!#REF!*0.3-('加入者(1)'!F18+'加入者(1)'!F24),R22))</f>
        <v>0</v>
      </c>
      <c r="T22" s="133" t="b">
        <f>IF(D22="４０～６４歳",'加入者(4)'!F25)</f>
        <v>0</v>
      </c>
      <c r="U22" s="134" t="b">
        <f>IF(D22="６５歳～",'加入者(4)'!F25)</f>
        <v>0</v>
      </c>
      <c r="V22" s="169">
        <f t="shared" si="2"/>
        <v>0</v>
      </c>
      <c r="W22" s="170">
        <f t="shared" si="0"/>
        <v>0</v>
      </c>
      <c r="X22" s="170">
        <f t="shared" si="1"/>
        <v>0</v>
      </c>
      <c r="Y22" s="170"/>
      <c r="Z22" s="168">
        <f>計算シート14!C24</f>
        <v>0</v>
      </c>
    </row>
    <row r="23" spans="1:26" s="166" customFormat="1" ht="30" customHeight="1" x14ac:dyDescent="0.2">
      <c r="A23" s="163"/>
      <c r="B23" s="164" t="s">
        <v>9</v>
      </c>
      <c r="C23" s="101"/>
      <c r="D23" s="45"/>
      <c r="E23" s="46"/>
      <c r="F23" s="46"/>
      <c r="G23" s="46"/>
      <c r="H23" s="47"/>
      <c r="I23" s="165"/>
      <c r="J23" s="3"/>
      <c r="N23" s="167"/>
      <c r="Q23" s="168" t="s">
        <v>9</v>
      </c>
      <c r="R23" s="131" t="str">
        <f>'加入者(5)'!$F$24</f>
        <v>0</v>
      </c>
      <c r="S23" s="132" t="str">
        <f>IF(D23=$Q$6,R23,IF(H23="該当",計算シート１!#REF!*0.3-('加入者(1)'!F19+'加入者(1)'!F25),R23))</f>
        <v>0</v>
      </c>
      <c r="T23" s="133" t="b">
        <f>IF(D23="４０～６４歳",'加入者(5)'!F25)</f>
        <v>0</v>
      </c>
      <c r="U23" s="134" t="b">
        <f>IF(D23="６５歳～",'加入者(5)'!F25)</f>
        <v>0</v>
      </c>
      <c r="V23" s="169">
        <f t="shared" si="2"/>
        <v>0</v>
      </c>
      <c r="W23" s="170">
        <f t="shared" si="0"/>
        <v>0</v>
      </c>
      <c r="X23" s="170">
        <f t="shared" si="1"/>
        <v>0</v>
      </c>
      <c r="Y23" s="170"/>
      <c r="Z23" s="168">
        <f>計算シート15!C24</f>
        <v>0</v>
      </c>
    </row>
    <row r="24" spans="1:26" s="166" customFormat="1" ht="30" customHeight="1" x14ac:dyDescent="0.2">
      <c r="A24" s="163"/>
      <c r="B24" s="164" t="s">
        <v>10</v>
      </c>
      <c r="C24" s="101"/>
      <c r="D24" s="45"/>
      <c r="E24" s="46"/>
      <c r="F24" s="46"/>
      <c r="G24" s="46"/>
      <c r="H24" s="47"/>
      <c r="I24" s="165"/>
      <c r="J24" s="3"/>
      <c r="N24" s="167"/>
      <c r="Q24" s="168" t="s">
        <v>10</v>
      </c>
      <c r="R24" s="131" t="str">
        <f>'加入者(6)'!$F$24</f>
        <v>0</v>
      </c>
      <c r="S24" s="132" t="str">
        <f>IF(D24=$Q$6,R24,IF(H24="該当",計算シート１!#REF!*0.3-('加入者(1)'!F20+'加入者(1)'!F26),R24))</f>
        <v>0</v>
      </c>
      <c r="T24" s="133" t="b">
        <f>IF(D24="４０～６４歳",'加入者(6)'!F25)</f>
        <v>0</v>
      </c>
      <c r="U24" s="134" t="b">
        <f>IF(D24="６５歳～",'加入者(6)'!F25)</f>
        <v>0</v>
      </c>
      <c r="V24" s="169">
        <f t="shared" si="2"/>
        <v>0</v>
      </c>
      <c r="W24" s="170">
        <f t="shared" si="0"/>
        <v>0</v>
      </c>
      <c r="X24" s="170">
        <f t="shared" si="1"/>
        <v>0</v>
      </c>
      <c r="Y24" s="170"/>
      <c r="Z24" s="168">
        <f>計算シート16!C24</f>
        <v>0</v>
      </c>
    </row>
    <row r="25" spans="1:26" s="166" customFormat="1" ht="30" customHeight="1" thickBot="1" x14ac:dyDescent="0.25">
      <c r="A25" s="163"/>
      <c r="B25" s="164" t="s">
        <v>11</v>
      </c>
      <c r="C25" s="101"/>
      <c r="D25" s="45"/>
      <c r="E25" s="46"/>
      <c r="F25" s="46"/>
      <c r="G25" s="46"/>
      <c r="H25" s="47"/>
      <c r="I25" s="165"/>
      <c r="J25" s="3"/>
      <c r="N25" s="167"/>
      <c r="Q25" s="168" t="s">
        <v>11</v>
      </c>
      <c r="R25" s="131" t="str">
        <f>'加入者(7)'!$F$24</f>
        <v>0</v>
      </c>
      <c r="S25" s="132" t="str">
        <f>IF(D25=$Q$6,R25,IF(H25="該当",計算シート１!C25*0.3-('加入者(1)'!F21+'加入者(1)'!F27),R25))</f>
        <v>0</v>
      </c>
      <c r="T25" s="133" t="b">
        <f>IF(D25="４０～６４歳",'加入者(7)'!F25)</f>
        <v>0</v>
      </c>
      <c r="U25" s="134" t="b">
        <f>IF(D25="６５歳～",'加入者(7)'!F25)</f>
        <v>0</v>
      </c>
      <c r="V25" s="169">
        <f t="shared" si="2"/>
        <v>0</v>
      </c>
      <c r="W25" s="170">
        <f t="shared" si="0"/>
        <v>0</v>
      </c>
      <c r="X25" s="146">
        <f t="shared" si="1"/>
        <v>0</v>
      </c>
      <c r="Y25" s="170"/>
      <c r="Z25" s="168">
        <f>計算シート17!C24</f>
        <v>0</v>
      </c>
    </row>
    <row r="26" spans="1:26" ht="26.25" customHeight="1" thickBot="1" x14ac:dyDescent="0.25">
      <c r="C26" s="171"/>
      <c r="D26" s="154"/>
      <c r="E26" s="154"/>
      <c r="F26" s="154"/>
      <c r="G26" s="154"/>
      <c r="H26" s="154"/>
      <c r="I26" s="154"/>
      <c r="J26" s="154"/>
      <c r="O26" s="172"/>
      <c r="Q26" s="166"/>
      <c r="R26" s="172"/>
    </row>
    <row r="27" spans="1:26" ht="42" thickBot="1" x14ac:dyDescent="0.25">
      <c r="C27" s="208"/>
      <c r="D27" s="208"/>
      <c r="E27" s="208"/>
      <c r="F27" s="208"/>
      <c r="G27" s="211">
        <f>IFERROR(D34+E34+F34+G34,"0")</f>
        <v>0</v>
      </c>
      <c r="H27" s="212"/>
      <c r="I27" s="48" t="s">
        <v>0</v>
      </c>
      <c r="J27" s="4"/>
      <c r="R27" s="172"/>
    </row>
    <row r="28" spans="1:26" ht="13.8" thickBot="1" x14ac:dyDescent="0.25">
      <c r="I28" s="154"/>
      <c r="J28" s="154"/>
      <c r="K28" s="5"/>
      <c r="R28" s="172"/>
    </row>
    <row r="29" spans="1:26" ht="33" customHeight="1" thickBot="1" x14ac:dyDescent="0.25">
      <c r="C29" s="147"/>
      <c r="F29" s="6" t="s">
        <v>19</v>
      </c>
      <c r="G29" s="213">
        <f>IF(G27="","",G27/12)</f>
        <v>0</v>
      </c>
      <c r="H29" s="214"/>
      <c r="I29" s="173" t="s">
        <v>159</v>
      </c>
      <c r="J29" s="154"/>
      <c r="K29" s="215"/>
      <c r="L29" s="215"/>
      <c r="M29" s="215"/>
      <c r="R29" s="172"/>
      <c r="S29" s="174"/>
      <c r="T29" s="172"/>
      <c r="U29" s="172"/>
    </row>
    <row r="30" spans="1:26" ht="42" customHeight="1" x14ac:dyDescent="0.2">
      <c r="C30" s="175" t="s">
        <v>202</v>
      </c>
      <c r="F30" s="216" t="s">
        <v>214</v>
      </c>
      <c r="G30" s="216"/>
      <c r="H30" s="216"/>
      <c r="I30" s="216"/>
      <c r="J30" s="9"/>
      <c r="K30" s="9"/>
      <c r="L30" s="9"/>
      <c r="M30" s="9"/>
      <c r="N30" s="9"/>
      <c r="R30" s="172"/>
      <c r="S30" s="174"/>
    </row>
    <row r="31" spans="1:26" s="176" customFormat="1" ht="28.8" customHeight="1" x14ac:dyDescent="0.2">
      <c r="C31" s="177"/>
      <c r="D31" s="159" t="s">
        <v>13</v>
      </c>
      <c r="E31" s="159" t="s">
        <v>14</v>
      </c>
      <c r="F31" s="95" t="s">
        <v>15</v>
      </c>
      <c r="G31" s="159" t="s">
        <v>256</v>
      </c>
      <c r="H31" s="178"/>
      <c r="S31" s="174"/>
    </row>
    <row r="32" spans="1:26" s="176" customFormat="1" ht="33.75" customHeight="1" x14ac:dyDescent="0.2">
      <c r="C32" s="164" t="s">
        <v>1</v>
      </c>
      <c r="D32" s="106">
        <f>ROUNDDOWN((W19+W20+W21+W22+W23+W24+W25)*T45,0)</f>
        <v>0</v>
      </c>
      <c r="E32" s="106">
        <f>ROUNDDOWN((W19+W20+W21+W22+W23+W24+W25)*T46,0)</f>
        <v>0</v>
      </c>
      <c r="F32" s="106">
        <f>ROUNDDOWN((X19+X20+X21+X22+X23+X24+X25)*T47,0)</f>
        <v>0</v>
      </c>
      <c r="G32" s="143">
        <f>ROUNDDOWN((W19+W20+W21+W22+W23+W24+W25)*T48,0)</f>
        <v>0</v>
      </c>
      <c r="H32" s="141"/>
      <c r="I32" s="130"/>
      <c r="J32" s="130"/>
      <c r="K32" s="130"/>
      <c r="L32" s="130"/>
      <c r="M32" s="130"/>
    </row>
    <row r="33" spans="1:26" s="176" customFormat="1" ht="33.75" customHeight="1" x14ac:dyDescent="0.2">
      <c r="C33" s="179" t="s">
        <v>2</v>
      </c>
      <c r="D33" s="139">
        <f>ROUNDDOWN(IF(H36=7,R7*U45*0.3-Q47,IF(H36=5,R7*U45*0.5-Q47,IF(H36=2,R7*U45*0.8-Q47,IF(H36=0,R7*U45-Q47)))),0)</f>
        <v>0</v>
      </c>
      <c r="E33" s="140">
        <f>ROUNDDOWN(IF(H36=7,R7*U46*0.3-Q51,IF(H36=5,R7*U46*0.5-Q51,IF(H36=2,R7*U46*0.8-Q51,IF(H36=0,R7*U46-Q51)))),0)</f>
        <v>0</v>
      </c>
      <c r="F33" s="106">
        <f>ROUNDDOWN(IF(H36=7,R5*U47*0.3,IF(H36=5,R5*U47*0.5,IF(H36=2,R5*U47*0.8,IF(H36=0,R5*U47)))),0)</f>
        <v>0</v>
      </c>
      <c r="G33" s="143">
        <f>ROUNDDOWN(_xlfn.IFS(H36=7,U48*S4*0.3,H36=5,U48*S4*0.5,H36=2,U48*S4*0.8,TRUE,U48*S4),0)</f>
        <v>0</v>
      </c>
      <c r="H33" s="142"/>
      <c r="I33" s="130"/>
      <c r="J33" s="130"/>
      <c r="K33" s="130"/>
      <c r="L33" s="130"/>
      <c r="M33" s="130"/>
    </row>
    <row r="34" spans="1:26" s="176" customFormat="1" ht="30.75" customHeight="1" x14ac:dyDescent="0.2">
      <c r="C34" s="164" t="s">
        <v>3</v>
      </c>
      <c r="D34" s="96">
        <f>IF(D32+D33&gt;=V45,V45,ROUNDDOWN((D32+D33),-2))</f>
        <v>0</v>
      </c>
      <c r="E34" s="96">
        <f>IF(E32+E33&gt;=V46,V46,ROUNDDOWN((E32+E33),-2))</f>
        <v>0</v>
      </c>
      <c r="F34" s="96">
        <f>IF(F32+F33&gt;=V47,V47,ROUNDDOWN((F32+F33),-2))</f>
        <v>0</v>
      </c>
      <c r="G34" s="96">
        <f>IF(G32+G33&gt;=V48,V48,ROUNDDOWN((G32+G33),-2))</f>
        <v>0</v>
      </c>
      <c r="H34" s="180"/>
      <c r="K34" s="7"/>
      <c r="O34" s="176" t="s">
        <v>192</v>
      </c>
      <c r="S34" s="174"/>
    </row>
    <row r="35" spans="1:26" x14ac:dyDescent="0.2">
      <c r="S35" s="181" t="s">
        <v>183</v>
      </c>
      <c r="T35" s="182" t="s">
        <v>181</v>
      </c>
      <c r="U35" s="182" t="s">
        <v>182</v>
      </c>
      <c r="V35" s="183" t="s">
        <v>200</v>
      </c>
      <c r="W35" s="147" t="s">
        <v>201</v>
      </c>
      <c r="X35" s="183"/>
      <c r="Y35" s="183"/>
      <c r="Z35" s="183"/>
    </row>
    <row r="36" spans="1:26" ht="19.2" x14ac:dyDescent="0.2">
      <c r="A36" s="150" t="s">
        <v>205</v>
      </c>
      <c r="B36" s="150"/>
      <c r="C36" s="150"/>
      <c r="D36" s="150"/>
      <c r="E36" s="8"/>
      <c r="F36" s="8"/>
      <c r="G36" s="184"/>
      <c r="H36" s="185"/>
      <c r="O36" s="145" t="s">
        <v>5</v>
      </c>
      <c r="P36" s="171">
        <f t="shared" ref="P36:P42" si="3">IF(D19="",0,1)</f>
        <v>0</v>
      </c>
      <c r="R36" s="145" t="s">
        <v>5</v>
      </c>
      <c r="S36" s="171" t="b">
        <f t="shared" ref="S36:S42" si="4">IF(E19&gt;$T$52,"1")</f>
        <v>0</v>
      </c>
      <c r="T36" s="186" t="b">
        <f t="shared" ref="T36:T42" si="5">IF(AND(D19="４０～６４歳",F19&gt;$T$54),"1")</f>
        <v>0</v>
      </c>
      <c r="U36" s="186" t="b">
        <f t="shared" ref="U36:U42" si="6">IF(AND(D19="６５歳～",F19&gt;$T$53),"1")</f>
        <v>0</v>
      </c>
      <c r="V36" s="187">
        <f>SUM(S36+T36+U36)</f>
        <v>0</v>
      </c>
      <c r="W36" s="188">
        <f>IF(V36&gt;=1,"1",0)</f>
        <v>0</v>
      </c>
    </row>
    <row r="37" spans="1:26" ht="16.2" x14ac:dyDescent="0.2">
      <c r="A37" s="150" t="s">
        <v>206</v>
      </c>
      <c r="B37" s="150"/>
      <c r="C37" s="150"/>
      <c r="D37" s="150"/>
      <c r="E37" s="8"/>
      <c r="F37" s="8"/>
      <c r="O37" s="145" t="s">
        <v>6</v>
      </c>
      <c r="P37" s="171">
        <f t="shared" si="3"/>
        <v>0</v>
      </c>
      <c r="R37" s="145" t="s">
        <v>6</v>
      </c>
      <c r="S37" s="171" t="b">
        <f t="shared" si="4"/>
        <v>0</v>
      </c>
      <c r="T37" s="186" t="b">
        <f t="shared" si="5"/>
        <v>0</v>
      </c>
      <c r="U37" s="186" t="b">
        <f t="shared" si="6"/>
        <v>0</v>
      </c>
      <c r="V37" s="187">
        <f t="shared" ref="V37:V42" si="7">SUM(S37+T37+U37)</f>
        <v>0</v>
      </c>
      <c r="W37" s="188">
        <f t="shared" ref="W37:W42" si="8">IF(V37&gt;=1,"1",0)</f>
        <v>0</v>
      </c>
    </row>
    <row r="38" spans="1:26" ht="16.2" x14ac:dyDescent="0.2">
      <c r="A38" s="150" t="s">
        <v>207</v>
      </c>
      <c r="B38" s="150"/>
      <c r="C38" s="150"/>
      <c r="D38" s="150"/>
      <c r="E38" s="8"/>
      <c r="F38" s="8"/>
      <c r="O38" s="145" t="s">
        <v>7</v>
      </c>
      <c r="P38" s="171">
        <f t="shared" si="3"/>
        <v>0</v>
      </c>
      <c r="R38" s="145" t="s">
        <v>7</v>
      </c>
      <c r="S38" s="171" t="b">
        <f t="shared" si="4"/>
        <v>0</v>
      </c>
      <c r="T38" s="186" t="b">
        <f t="shared" si="5"/>
        <v>0</v>
      </c>
      <c r="U38" s="186" t="b">
        <f t="shared" si="6"/>
        <v>0</v>
      </c>
      <c r="V38" s="187">
        <f t="shared" si="7"/>
        <v>0</v>
      </c>
      <c r="W38" s="188">
        <f t="shared" si="8"/>
        <v>0</v>
      </c>
    </row>
    <row r="39" spans="1:26" ht="22.5" customHeight="1" x14ac:dyDescent="0.2">
      <c r="C39" s="8" t="s">
        <v>16</v>
      </c>
      <c r="D39" s="150"/>
      <c r="E39" s="8"/>
      <c r="F39" s="8"/>
      <c r="O39" s="145" t="s">
        <v>8</v>
      </c>
      <c r="P39" s="171">
        <f t="shared" si="3"/>
        <v>0</v>
      </c>
      <c r="R39" s="145" t="s">
        <v>8</v>
      </c>
      <c r="S39" s="171" t="b">
        <f t="shared" si="4"/>
        <v>0</v>
      </c>
      <c r="T39" s="186" t="b">
        <f t="shared" si="5"/>
        <v>0</v>
      </c>
      <c r="U39" s="186" t="b">
        <f t="shared" si="6"/>
        <v>0</v>
      </c>
      <c r="V39" s="187">
        <f t="shared" si="7"/>
        <v>0</v>
      </c>
      <c r="W39" s="188">
        <f t="shared" si="8"/>
        <v>0</v>
      </c>
    </row>
    <row r="40" spans="1:26" ht="16.2" x14ac:dyDescent="0.2">
      <c r="A40" s="150" t="s">
        <v>17</v>
      </c>
      <c r="B40" s="150"/>
      <c r="C40" s="8"/>
      <c r="D40" s="150"/>
      <c r="E40" s="8"/>
      <c r="F40" s="8"/>
      <c r="L40" s="154"/>
      <c r="M40" s="154"/>
      <c r="O40" s="145" t="s">
        <v>9</v>
      </c>
      <c r="P40" s="171">
        <f t="shared" si="3"/>
        <v>0</v>
      </c>
      <c r="R40" s="145" t="s">
        <v>9</v>
      </c>
      <c r="S40" s="171" t="b">
        <f t="shared" si="4"/>
        <v>0</v>
      </c>
      <c r="T40" s="186" t="b">
        <f t="shared" si="5"/>
        <v>0</v>
      </c>
      <c r="U40" s="186" t="b">
        <f t="shared" si="6"/>
        <v>0</v>
      </c>
      <c r="V40" s="187">
        <f t="shared" si="7"/>
        <v>0</v>
      </c>
      <c r="W40" s="188">
        <f t="shared" si="8"/>
        <v>0</v>
      </c>
    </row>
    <row r="41" spans="1:26" ht="16.2" x14ac:dyDescent="0.2">
      <c r="A41" s="150" t="s">
        <v>215</v>
      </c>
      <c r="B41" s="150"/>
      <c r="C41" s="8"/>
      <c r="D41" s="150"/>
      <c r="E41" s="8"/>
      <c r="F41" s="8"/>
      <c r="L41" s="154"/>
      <c r="M41" s="154"/>
      <c r="O41" s="145" t="s">
        <v>10</v>
      </c>
      <c r="P41" s="171">
        <f t="shared" si="3"/>
        <v>0</v>
      </c>
      <c r="R41" s="145" t="s">
        <v>10</v>
      </c>
      <c r="S41" s="171" t="b">
        <f t="shared" si="4"/>
        <v>0</v>
      </c>
      <c r="T41" s="186" t="b">
        <f t="shared" si="5"/>
        <v>0</v>
      </c>
      <c r="U41" s="186" t="b">
        <f t="shared" si="6"/>
        <v>0</v>
      </c>
      <c r="V41" s="187">
        <f t="shared" si="7"/>
        <v>0</v>
      </c>
      <c r="W41" s="188">
        <f t="shared" si="8"/>
        <v>0</v>
      </c>
    </row>
    <row r="42" spans="1:26" ht="16.2" x14ac:dyDescent="0.2">
      <c r="A42" s="150" t="s">
        <v>260</v>
      </c>
      <c r="B42" s="150"/>
      <c r="C42" s="8"/>
      <c r="D42" s="150"/>
      <c r="E42" s="8"/>
      <c r="F42" s="8"/>
      <c r="L42" s="154"/>
      <c r="M42" s="154"/>
      <c r="O42" s="145" t="s">
        <v>11</v>
      </c>
      <c r="P42" s="171">
        <f t="shared" si="3"/>
        <v>0</v>
      </c>
      <c r="R42" s="145" t="s">
        <v>11</v>
      </c>
      <c r="S42" s="171" t="b">
        <f t="shared" si="4"/>
        <v>0</v>
      </c>
      <c r="T42" s="186" t="b">
        <f t="shared" si="5"/>
        <v>0</v>
      </c>
      <c r="U42" s="186" t="b">
        <f t="shared" si="6"/>
        <v>0</v>
      </c>
      <c r="V42" s="187">
        <f t="shared" si="7"/>
        <v>0</v>
      </c>
      <c r="W42" s="188">
        <f t="shared" si="8"/>
        <v>0</v>
      </c>
    </row>
    <row r="43" spans="1:26" ht="14.25" customHeight="1" x14ac:dyDescent="0.2">
      <c r="A43" s="150" t="s">
        <v>244</v>
      </c>
      <c r="B43" s="150"/>
      <c r="C43" s="150"/>
      <c r="D43" s="150"/>
      <c r="E43" s="8"/>
      <c r="F43" s="8"/>
      <c r="I43" s="154"/>
      <c r="L43" s="154"/>
      <c r="M43" s="154"/>
      <c r="P43" s="171">
        <f>SUM(P36:P42)</f>
        <v>0</v>
      </c>
      <c r="S43" s="189"/>
      <c r="T43" s="189"/>
      <c r="U43" s="189"/>
      <c r="W43" s="188">
        <f>COUNTIF(W36:W42,1)</f>
        <v>0</v>
      </c>
    </row>
    <row r="44" spans="1:26" ht="16.2" x14ac:dyDescent="0.2">
      <c r="A44" s="150" t="s">
        <v>21</v>
      </c>
      <c r="B44" s="150"/>
      <c r="C44" s="150"/>
      <c r="D44" s="150"/>
      <c r="E44" s="8"/>
      <c r="F44" s="8"/>
      <c r="K44" s="145"/>
      <c r="S44" s="190"/>
      <c r="T44" s="191" t="s">
        <v>232</v>
      </c>
      <c r="U44" s="192" t="s">
        <v>234</v>
      </c>
      <c r="V44" s="192" t="s">
        <v>233</v>
      </c>
    </row>
    <row r="45" spans="1:26" ht="16.2" x14ac:dyDescent="0.2">
      <c r="A45" s="150" t="s">
        <v>216</v>
      </c>
      <c r="B45" s="150"/>
      <c r="C45" s="150"/>
      <c r="D45" s="150"/>
      <c r="G45" s="8"/>
      <c r="H45" s="8"/>
      <c r="I45" s="1"/>
      <c r="J45" s="147"/>
      <c r="K45" s="147"/>
      <c r="L45" s="147"/>
      <c r="M45" s="147"/>
      <c r="O45" s="145" t="s">
        <v>224</v>
      </c>
      <c r="Q45" s="145" t="s">
        <v>228</v>
      </c>
      <c r="S45" s="193" t="s">
        <v>229</v>
      </c>
      <c r="T45" s="194">
        <v>8.1000000000000003E-2</v>
      </c>
      <c r="U45" s="195">
        <v>49233</v>
      </c>
      <c r="V45" s="195">
        <v>660000</v>
      </c>
    </row>
    <row r="46" spans="1:26" ht="13.5" customHeight="1" x14ac:dyDescent="0.2">
      <c r="A46" s="150" t="s">
        <v>18</v>
      </c>
      <c r="B46" s="150"/>
      <c r="C46" s="150"/>
      <c r="D46" s="150"/>
      <c r="F46" s="147"/>
      <c r="G46" s="147"/>
      <c r="H46" s="147"/>
      <c r="I46" s="147"/>
      <c r="J46" s="147"/>
      <c r="K46" s="147"/>
      <c r="L46" s="147"/>
      <c r="M46" s="147"/>
      <c r="O46" s="145" t="s">
        <v>225</v>
      </c>
      <c r="P46" s="145">
        <f>R2</f>
        <v>0</v>
      </c>
      <c r="S46" s="193" t="s">
        <v>230</v>
      </c>
      <c r="T46" s="194">
        <v>2.8299999999999999E-2</v>
      </c>
      <c r="U46" s="195">
        <v>17105</v>
      </c>
      <c r="V46" s="195">
        <v>260000</v>
      </c>
    </row>
    <row r="47" spans="1:26" ht="13.5" customHeight="1" x14ac:dyDescent="0.2">
      <c r="A47" s="196"/>
      <c r="B47" s="196"/>
      <c r="C47" s="196"/>
      <c r="D47" s="196"/>
      <c r="F47" s="147"/>
      <c r="G47" s="147"/>
      <c r="H47" s="147"/>
      <c r="I47" s="147"/>
      <c r="J47" s="147"/>
      <c r="K47" s="147"/>
      <c r="L47" s="147"/>
      <c r="M47" s="147"/>
      <c r="O47" s="145" t="s">
        <v>226</v>
      </c>
      <c r="P47" s="145">
        <f>IF(H36=7,P46*U45*0.3,IF(H36=5,P46*U45*0.5,IF(H36=2,P46*U45*0.8,IF(H36=0,P46*U45))))</f>
        <v>0</v>
      </c>
      <c r="Q47" s="145">
        <f>P47/2</f>
        <v>0</v>
      </c>
      <c r="S47" s="193" t="s">
        <v>231</v>
      </c>
      <c r="T47" s="194">
        <v>2.47E-2</v>
      </c>
      <c r="U47" s="195">
        <v>17492</v>
      </c>
      <c r="V47" s="195">
        <v>170000</v>
      </c>
    </row>
    <row r="48" spans="1:26" ht="13.5" customHeight="1" x14ac:dyDescent="0.2">
      <c r="A48" s="196"/>
      <c r="B48" s="217" t="s">
        <v>27</v>
      </c>
      <c r="C48" s="217"/>
      <c r="D48" s="217"/>
      <c r="F48" s="147"/>
      <c r="G48" s="147"/>
      <c r="H48" s="147"/>
      <c r="I48" s="147"/>
      <c r="J48" s="147"/>
      <c r="K48" s="147"/>
      <c r="L48" s="147"/>
      <c r="M48" s="147"/>
      <c r="S48" s="193" t="s">
        <v>258</v>
      </c>
      <c r="T48" s="194">
        <v>2.5999999999999999E-3</v>
      </c>
      <c r="U48" s="195">
        <v>1687</v>
      </c>
      <c r="V48" s="195">
        <v>30000</v>
      </c>
    </row>
    <row r="49" spans="1:22" ht="13.5" customHeight="1" x14ac:dyDescent="0.2">
      <c r="A49" s="196"/>
      <c r="B49" s="217"/>
      <c r="C49" s="217"/>
      <c r="D49" s="217"/>
      <c r="F49" s="147"/>
      <c r="G49" s="147"/>
      <c r="H49" s="147"/>
      <c r="I49" s="147"/>
      <c r="J49" s="147"/>
      <c r="K49" s="147"/>
      <c r="L49" s="147"/>
      <c r="M49" s="147"/>
      <c r="S49" s="190" t="s">
        <v>261</v>
      </c>
      <c r="T49" s="197">
        <f>SUM(T45:T48)</f>
        <v>0.1366</v>
      </c>
      <c r="U49" s="198">
        <f>SUM(U45:U48)</f>
        <v>85517</v>
      </c>
      <c r="V49" s="198">
        <f>SUM(V45:V48)</f>
        <v>1120000</v>
      </c>
    </row>
    <row r="50" spans="1:22" ht="13.5" customHeight="1" x14ac:dyDescent="0.2">
      <c r="A50" s="196"/>
      <c r="B50" s="217"/>
      <c r="C50" s="217"/>
      <c r="D50" s="217"/>
      <c r="F50" s="147"/>
      <c r="G50" s="147"/>
      <c r="H50" s="147"/>
      <c r="I50" s="147"/>
      <c r="J50" s="147"/>
      <c r="K50" s="147"/>
      <c r="L50" s="147"/>
      <c r="M50" s="147"/>
      <c r="S50" s="203"/>
      <c r="T50" s="204"/>
      <c r="U50" s="204"/>
      <c r="V50" s="205"/>
    </row>
    <row r="51" spans="1:22" ht="19.2" customHeight="1" x14ac:dyDescent="0.2">
      <c r="A51" s="196"/>
      <c r="B51" s="217"/>
      <c r="C51" s="217"/>
      <c r="D51" s="217"/>
      <c r="F51" s="147"/>
      <c r="G51" s="147"/>
      <c r="H51" s="147"/>
      <c r="I51" s="147"/>
      <c r="J51" s="147"/>
      <c r="K51" s="147"/>
      <c r="L51" s="147"/>
      <c r="M51" s="147"/>
      <c r="O51" s="145" t="s">
        <v>227</v>
      </c>
      <c r="P51" s="145">
        <f>IF(H36=7,P46*U46*0.3,IF(H36=5,P46*U46*0.5,IF(H36=2,P46*U46*0.8,IF(H36=0,P46*U46))))</f>
        <v>0</v>
      </c>
      <c r="Q51" s="145">
        <f>P51/2</f>
        <v>0</v>
      </c>
      <c r="S51" s="193" t="s">
        <v>235</v>
      </c>
      <c r="T51" s="200">
        <v>430000</v>
      </c>
      <c r="U51" s="201"/>
      <c r="V51" s="202"/>
    </row>
    <row r="52" spans="1:22" ht="19.2" x14ac:dyDescent="0.2">
      <c r="A52" s="150"/>
      <c r="B52" s="217"/>
      <c r="C52" s="217"/>
      <c r="D52" s="217"/>
      <c r="E52" s="7"/>
      <c r="F52" s="147"/>
      <c r="G52" s="147"/>
      <c r="H52" s="147"/>
      <c r="I52" s="147"/>
      <c r="J52" s="147"/>
      <c r="K52" s="147"/>
      <c r="L52" s="147"/>
      <c r="M52" s="147"/>
      <c r="S52" s="193" t="s">
        <v>240</v>
      </c>
      <c r="T52" s="200">
        <v>550000</v>
      </c>
      <c r="U52" s="201"/>
      <c r="V52" s="202"/>
    </row>
    <row r="53" spans="1:22" ht="16.2" x14ac:dyDescent="0.2">
      <c r="A53" s="150"/>
      <c r="B53" s="150"/>
      <c r="C53" s="150" t="s">
        <v>22</v>
      </c>
      <c r="D53" s="150"/>
      <c r="F53" s="147"/>
      <c r="G53" s="147"/>
      <c r="H53" s="147"/>
      <c r="I53" s="147"/>
      <c r="J53" s="147"/>
      <c r="K53" s="147"/>
      <c r="L53" s="147"/>
      <c r="M53" s="147"/>
      <c r="S53" s="193" t="s">
        <v>239</v>
      </c>
      <c r="T53" s="200">
        <v>1100000</v>
      </c>
      <c r="U53" s="201"/>
      <c r="V53" s="202"/>
    </row>
    <row r="54" spans="1:22" ht="16.2" x14ac:dyDescent="0.2">
      <c r="A54" s="150"/>
      <c r="B54" s="150"/>
      <c r="C54" s="150" t="s">
        <v>23</v>
      </c>
      <c r="D54" s="150"/>
      <c r="F54" s="147"/>
      <c r="G54" s="147"/>
      <c r="H54" s="147"/>
      <c r="I54" s="147"/>
      <c r="J54" s="147"/>
      <c r="K54" s="147"/>
      <c r="L54" s="147"/>
      <c r="M54" s="147"/>
      <c r="S54" s="193" t="s">
        <v>241</v>
      </c>
      <c r="T54" s="200">
        <v>600000</v>
      </c>
      <c r="U54" s="201"/>
      <c r="V54" s="202"/>
    </row>
    <row r="55" spans="1:22" ht="16.2" x14ac:dyDescent="0.2">
      <c r="C55" s="150"/>
      <c r="D55" s="150"/>
      <c r="G55" s="147"/>
      <c r="H55" s="147"/>
      <c r="I55" s="147"/>
      <c r="J55" s="199"/>
      <c r="K55" s="145"/>
      <c r="S55" s="145" t="s">
        <v>236</v>
      </c>
    </row>
    <row r="56" spans="1:22" ht="16.2" x14ac:dyDescent="0.2">
      <c r="A56" s="150"/>
      <c r="B56" s="150"/>
      <c r="C56" s="150"/>
      <c r="D56" s="150"/>
      <c r="G56" s="8"/>
      <c r="H56" s="8"/>
      <c r="I56" s="1"/>
      <c r="J56" s="199"/>
      <c r="S56" s="145" t="s">
        <v>237</v>
      </c>
    </row>
    <row r="57" spans="1:22" x14ac:dyDescent="0.2">
      <c r="J57" s="199"/>
      <c r="S57" s="145" t="s">
        <v>238</v>
      </c>
    </row>
    <row r="58" spans="1:22" x14ac:dyDescent="0.2">
      <c r="C58" s="209"/>
      <c r="D58" s="209"/>
      <c r="E58" s="210"/>
      <c r="F58" s="210"/>
      <c r="J58" s="199"/>
    </row>
    <row r="59" spans="1:22" x14ac:dyDescent="0.2">
      <c r="C59" s="209"/>
      <c r="D59" s="209"/>
      <c r="E59" s="210"/>
      <c r="F59" s="210"/>
    </row>
  </sheetData>
  <sheetProtection algorithmName="SHA-512" hashValue="KD/hPS5uWChshAAF0Md7q9tkNXmtJZYnfpNAr1v1RXFLFUQ7UQ0pMYIaNfDa3j+7T9Sqb4RnItACI+hLsED59Q==" saltValue="X0QaJDwpRgZIMFpAMEDDKw==" spinCount="100000" sheet="1" selectLockedCells="1"/>
  <mergeCells count="15">
    <mergeCell ref="S4:S6"/>
    <mergeCell ref="A1:H4"/>
    <mergeCell ref="C27:F27"/>
    <mergeCell ref="C58:D59"/>
    <mergeCell ref="E58:F59"/>
    <mergeCell ref="G27:H27"/>
    <mergeCell ref="G29:H29"/>
    <mergeCell ref="K29:M29"/>
    <mergeCell ref="F30:I30"/>
    <mergeCell ref="B48:D52"/>
    <mergeCell ref="T54:V54"/>
    <mergeCell ref="T53:V53"/>
    <mergeCell ref="T52:V52"/>
    <mergeCell ref="T51:V51"/>
    <mergeCell ref="S50:V50"/>
  </mergeCells>
  <phoneticPr fontId="2"/>
  <dataValidations xWindow="519" yWindow="516" count="8">
    <dataValidation errorStyle="information" imeMode="halfAlpha" allowBlank="1" showInputMessage="1" showErrorMessage="1" error="固定資産税額を数値で入力して下さい。" promptTitle="固定資産税額入力" prompt="都市計画税を除いた上尾市固定資産税額を入力します。_x000a_不動産を共有している場合は持分毎の税額を入力して下さい。" sqref="I19:I25" xr:uid="{00000000-0002-0000-0000-000000000000}"/>
    <dataValidation type="list" errorStyle="information" imeMode="halfAlpha" allowBlank="1" showInputMessage="1" showErrorMessage="1" error="空欄、もしくは該当、非該当を選択してください。" promptTitle="100分の30" prompt="空欄のまま、もしくは該当、非該当を選択してください。" sqref="H19:H25" xr:uid="{00000000-0002-0000-0000-000001000000}">
      <formula1>"該当,非該当"</formula1>
    </dataValidation>
    <dataValidation type="list" errorStyle="information" allowBlank="1" showInputMessage="1" showErrorMessage="1" promptTitle="年齢区分選択" prompt="加入される方の年齢区分を選択してください。_x000a_※軽減判定の際、６５歳以上の方は、１月１日時点で６５歳となっているかで軽減計算が異なります。また、子ども均等割は未就学児に限りますので、該当する場合は0~6歳を選択してください。_x000a_" sqref="D19:D25" xr:uid="{00000000-0002-0000-0000-000002000000}">
      <formula1>$Q$2:$Q$6</formula1>
    </dataValidation>
    <dataValidation type="whole" errorStyle="information" imeMode="halfAlpha" allowBlank="1" showInputMessage="1" showErrorMessage="1" error="年金所得額を数値で入力して下さい。" promptTitle="年金収入入力" prompt="年金収入額を入力します。公的年金等の源泉徴収票の支払金額欄の額を入力します。" sqref="F19:F25" xr:uid="{00000000-0002-0000-0000-000003000000}">
      <formula1>0</formula1>
      <formula2>9.99999999999999E+67</formula2>
    </dataValidation>
    <dataValidation errorStyle="information" imeMode="halfAlpha" allowBlank="1" showInputMessage="1" showErrorMessage="1" error="その他所得を数値で入力して下さい。" promptTitle="その他所得入力" prompt="給与収入、年金収入以外に所得がある場合は、その所得の合計額を入力します。ただし、退職所得は除きます。" sqref="G24:G25 G19:G22" xr:uid="{00000000-0002-0000-0000-000004000000}"/>
    <dataValidation type="whole" errorStyle="information" imeMode="halfAlpha" allowBlank="1" showInputMessage="1" showErrorMessage="1" error="給与所得額を数値で入力して下さい" promptTitle="給与収入入力" prompt="給与収入を入力します。給与所得の源泉徴収票の支払金額欄に記載されている額を入力します。" sqref="E19:E25" xr:uid="{00000000-0002-0000-0000-000005000000}">
      <formula1>0</formula1>
      <formula2>9.99999999999999E+44</formula2>
    </dataValidation>
    <dataValidation type="list" allowBlank="1" showInputMessage="1" showErrorMessage="1" promptTitle="※１ア～ウに該当する者" prompt="空欄のまま、もしくは該当、非該当を選択してください。" sqref="C19:C25" xr:uid="{00000000-0002-0000-0000-000006000000}">
      <formula1>$T$4:$T$5</formula1>
    </dataValidation>
    <dataValidation type="whole" errorStyle="information" imeMode="halfAlpha" allowBlank="1" showInputMessage="1" showErrorMessage="1" error="給与所得額を数値で入力して下さい" promptTitle="その他所得入力" prompt="給与収入、年金収入以外に所得がある場合は、その所得の合計額を入力します。ただし、退職所得は除きます。" sqref="G23" xr:uid="{00000000-0002-0000-0000-000007000000}">
      <formula1>0</formula1>
      <formula2>9.99999999999999E+44</formula2>
    </dataValidation>
  </dataValidations>
  <pageMargins left="0.23622047244094491" right="0.23622047244094491" top="0.35433070866141736" bottom="0.35433070866141736" header="0.31496062992125984" footer="0.31496062992125984"/>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L31"/>
  <sheetViews>
    <sheetView zoomScaleNormal="100" workbookViewId="0">
      <selection activeCell="E20" sqref="E20"/>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IF('加入者(3)'!F6="","",'加入者(3)'!F6)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550999</v>
      </c>
      <c r="D9" t="s">
        <v>60</v>
      </c>
      <c r="I9" s="10" t="s">
        <v>61</v>
      </c>
      <c r="J9" s="240" t="s">
        <v>62</v>
      </c>
      <c r="K9" s="240"/>
    </row>
    <row r="10" spans="1:12" x14ac:dyDescent="0.2">
      <c r="A10" s="11">
        <v>551000</v>
      </c>
      <c r="B10" t="s">
        <v>59</v>
      </c>
      <c r="C10" s="11">
        <v>1618999</v>
      </c>
      <c r="D10" t="s">
        <v>257</v>
      </c>
      <c r="I10" s="52" t="b">
        <f>IF('加入者(3)'!F14="該当",E5)</f>
        <v>0</v>
      </c>
      <c r="J10" s="12">
        <f>C24</f>
        <v>0</v>
      </c>
      <c r="K10" s="11"/>
    </row>
    <row r="11" spans="1:12" x14ac:dyDescent="0.2">
      <c r="A11" s="11">
        <v>1800000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R54"/>
  <sheetViews>
    <sheetView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'加入者(3)'!F7</f>
        <v>0</v>
      </c>
      <c r="G5" t="s">
        <v>0</v>
      </c>
    </row>
    <row r="6" spans="1:18" x14ac:dyDescent="0.2">
      <c r="B6" t="s">
        <v>83</v>
      </c>
      <c r="F6" s="55" t="e">
        <f>'加入者(3)'!F8</f>
        <v>#N/A</v>
      </c>
      <c r="H6" t="s">
        <v>37</v>
      </c>
      <c r="J6" t="s">
        <v>39</v>
      </c>
    </row>
    <row r="7" spans="1:18" x14ac:dyDescent="0.2">
      <c r="B7" t="s">
        <v>84</v>
      </c>
      <c r="F7" s="55" t="str">
        <f>'加入者(3)'!F9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'加入者(3)'!F19+'加入者(3)'!F20-100000</f>
        <v>#N/A</v>
      </c>
      <c r="C49" t="s">
        <v>0</v>
      </c>
    </row>
    <row r="51" spans="2:9" x14ac:dyDescent="0.2">
      <c r="B51" t="s">
        <v>141</v>
      </c>
      <c r="C51" t="s">
        <v>142</v>
      </c>
      <c r="E51" t="s">
        <v>134</v>
      </c>
      <c r="F51" t="s">
        <v>4</v>
      </c>
      <c r="G51" t="s">
        <v>151</v>
      </c>
      <c r="H51" t="s">
        <v>152</v>
      </c>
    </row>
    <row r="52" spans="2:9" x14ac:dyDescent="0.2">
      <c r="B52" t="s">
        <v>26</v>
      </c>
      <c r="C52" t="s">
        <v>85</v>
      </c>
      <c r="E52" s="53">
        <f>計算シート13!J10</f>
        <v>0</v>
      </c>
      <c r="F52" s="54">
        <f>計算式あり!G21</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G26"/>
  <sheetViews>
    <sheetView view="pageBreakPreview" topLeftCell="A13" zoomScaleNormal="100" zoomScaleSheetLayoutView="100" workbookViewId="0">
      <selection activeCell="F14" sqref="F14:G14"/>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計算式あり!E22</f>
        <v>0</v>
      </c>
      <c r="G6" s="27" t="s">
        <v>0</v>
      </c>
    </row>
    <row r="7" spans="1:7" ht="28.5" customHeight="1" x14ac:dyDescent="0.2">
      <c r="A7" s="22"/>
      <c r="B7" s="24" t="s">
        <v>35</v>
      </c>
      <c r="C7" s="25"/>
      <c r="D7" s="25"/>
      <c r="E7" s="25"/>
      <c r="F7" s="26">
        <f>計算式あり!F22</f>
        <v>0</v>
      </c>
      <c r="G7" s="27" t="s">
        <v>0</v>
      </c>
    </row>
    <row r="8" spans="1:7" ht="28.5" customHeight="1" x14ac:dyDescent="0.2">
      <c r="A8" s="22"/>
      <c r="B8" s="28" t="s">
        <v>36</v>
      </c>
      <c r="C8" s="29"/>
      <c r="D8" s="29"/>
      <c r="E8" s="29"/>
      <c r="F8" s="235" t="e">
        <f>VLOOKUP(計算式あり!D22,計算シート24!$B$52:$C$54,2,1)</f>
        <v>#N/A</v>
      </c>
      <c r="G8" s="236"/>
    </row>
    <row r="9" spans="1:7" ht="28.5" customHeight="1" x14ac:dyDescent="0.2">
      <c r="A9" s="22"/>
      <c r="B9" s="237" t="s">
        <v>38</v>
      </c>
      <c r="C9" s="237"/>
      <c r="D9" s="237"/>
      <c r="E9" s="237"/>
      <c r="F9" s="238" t="str">
        <f>IFERROR(VLOOKUP(計算シート24!G52,計算シート24!$H$52:$I$54,2,1),"1,000万円以下")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IFERROR(計算式あり!C22, "非該当")</f>
        <v>0</v>
      </c>
      <c r="G14" s="233"/>
    </row>
    <row r="15" spans="1:7" ht="28.5" customHeight="1" x14ac:dyDescent="0.2">
      <c r="A15" s="23"/>
      <c r="B15" s="226" t="s">
        <v>41</v>
      </c>
      <c r="C15" s="227"/>
      <c r="D15" s="227"/>
      <c r="E15" s="228"/>
      <c r="F15" s="31" t="str">
        <f>計算シート14!I12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IF(計算シート14!C24&lt;=100000,計算シート14!C24,計算シート14!E24)</f>
        <v>0</v>
      </c>
      <c r="G19" s="27" t="s">
        <v>0</v>
      </c>
    </row>
    <row r="20" spans="1:7" ht="28.5" customHeight="1" thickBot="1" x14ac:dyDescent="0.25">
      <c r="A20" s="22"/>
      <c r="B20" s="24" t="s">
        <v>44</v>
      </c>
      <c r="C20" s="25"/>
      <c r="D20" s="25"/>
      <c r="E20" s="25"/>
      <c r="F20" s="33" t="e">
        <f>IF(計算シート24!C43&lt;=100000,計算シート24!C43,計算シート24!E43)</f>
        <v>#N/A</v>
      </c>
      <c r="G20" s="27" t="s">
        <v>0</v>
      </c>
    </row>
    <row r="21" spans="1:7" ht="28.5" customHeight="1" thickTop="1" x14ac:dyDescent="0.2">
      <c r="A21" s="22"/>
      <c r="B21" s="34" t="s">
        <v>45</v>
      </c>
      <c r="C21" s="35"/>
      <c r="D21" s="35"/>
      <c r="E21" s="35"/>
      <c r="F21" s="36" t="e">
        <f>IF(計算シート24!B49&gt;=0,計算シート24!B49,0)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IFERROR(計算シート14!C24-('加入者(4)'!F15+'加入者(4)'!F21), "0")</f>
        <v>0</v>
      </c>
      <c r="G24" s="32" t="s">
        <v>0</v>
      </c>
    </row>
    <row r="25" spans="1:7" ht="28.5" customHeight="1" thickBot="1" x14ac:dyDescent="0.25">
      <c r="A25" s="22"/>
      <c r="B25" s="38" t="s">
        <v>48</v>
      </c>
      <c r="C25" s="39"/>
      <c r="D25" s="39"/>
      <c r="E25" s="40"/>
      <c r="F25" s="49" t="str">
        <f>IFERROR(計算シート24!C43,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pageMargins left="0.7" right="0.48" top="0.73" bottom="0.47"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L31"/>
  <sheetViews>
    <sheetView zoomScaleNormal="100" workbookViewId="0">
      <selection activeCell="F20" sqref="F20"/>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IF('加入者(4)'!F6="","",'加入者(4)'!F6)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IF('加入者(4)'!F14="該当",E5)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R54"/>
  <sheetViews>
    <sheetView topLeftCell="A37"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'加入者(4)'!F7</f>
        <v>0</v>
      </c>
      <c r="G5" t="s">
        <v>0</v>
      </c>
    </row>
    <row r="6" spans="1:18" x14ac:dyDescent="0.2">
      <c r="B6" t="s">
        <v>83</v>
      </c>
      <c r="F6" s="55" t="e">
        <f>'加入者(4)'!F8</f>
        <v>#N/A</v>
      </c>
      <c r="H6" t="s">
        <v>37</v>
      </c>
      <c r="J6" t="s">
        <v>39</v>
      </c>
    </row>
    <row r="7" spans="1:18" x14ac:dyDescent="0.2">
      <c r="B7" t="s">
        <v>84</v>
      </c>
      <c r="F7" s="55" t="str">
        <f>'加入者(4)'!F9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'加入者(4)'!F19+'加入者(4)'!F20-100000</f>
        <v>#N/A</v>
      </c>
      <c r="C49" t="s">
        <v>0</v>
      </c>
    </row>
    <row r="51" spans="2:9" x14ac:dyDescent="0.2">
      <c r="B51" t="s">
        <v>141</v>
      </c>
      <c r="C51" t="s">
        <v>142</v>
      </c>
      <c r="E51" t="s">
        <v>134</v>
      </c>
      <c r="F51" t="s">
        <v>4</v>
      </c>
      <c r="G51" t="s">
        <v>151</v>
      </c>
      <c r="H51" t="s">
        <v>152</v>
      </c>
    </row>
    <row r="52" spans="2:9" x14ac:dyDescent="0.2">
      <c r="B52" t="s">
        <v>26</v>
      </c>
      <c r="C52" t="s">
        <v>85</v>
      </c>
      <c r="E52" s="53">
        <f>計算シート14!J10</f>
        <v>0</v>
      </c>
      <c r="F52" s="54">
        <f>計算式あり!G22</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FF00"/>
  </sheetPr>
  <dimension ref="A1:G26"/>
  <sheetViews>
    <sheetView view="pageBreakPreview" topLeftCell="A10" zoomScaleNormal="100" zoomScaleSheetLayoutView="100" workbookViewId="0">
      <selection activeCell="F14" sqref="F14:G14"/>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計算式あり!E23</f>
        <v>0</v>
      </c>
      <c r="G6" s="27" t="s">
        <v>0</v>
      </c>
    </row>
    <row r="7" spans="1:7" ht="28.5" customHeight="1" x14ac:dyDescent="0.2">
      <c r="A7" s="22"/>
      <c r="B7" s="24" t="s">
        <v>35</v>
      </c>
      <c r="C7" s="25"/>
      <c r="D7" s="25"/>
      <c r="E7" s="25"/>
      <c r="F7" s="26">
        <f>計算式あり!F23</f>
        <v>0</v>
      </c>
      <c r="G7" s="27" t="s">
        <v>0</v>
      </c>
    </row>
    <row r="8" spans="1:7" ht="28.5" customHeight="1" x14ac:dyDescent="0.2">
      <c r="A8" s="22"/>
      <c r="B8" s="28" t="s">
        <v>36</v>
      </c>
      <c r="C8" s="29"/>
      <c r="D8" s="29"/>
      <c r="E8" s="29"/>
      <c r="F8" s="235" t="e">
        <f>VLOOKUP(計算式あり!D23,計算シート25!$B$52:$C$54,2,1)</f>
        <v>#N/A</v>
      </c>
      <c r="G8" s="236"/>
    </row>
    <row r="9" spans="1:7" ht="28.5" customHeight="1" x14ac:dyDescent="0.2">
      <c r="A9" s="22"/>
      <c r="B9" s="237" t="s">
        <v>38</v>
      </c>
      <c r="C9" s="237"/>
      <c r="D9" s="237"/>
      <c r="E9" s="237"/>
      <c r="F9" s="238" t="str">
        <f>IFERROR(VLOOKUP(計算シート25!G52,計算シート25!$H$52:$I$54,2,1),"1,000万円以下")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IFERROR(計算式あり!C23, "非該当")</f>
        <v>0</v>
      </c>
      <c r="G14" s="233"/>
    </row>
    <row r="15" spans="1:7" ht="28.5" customHeight="1" x14ac:dyDescent="0.2">
      <c r="A15" s="23"/>
      <c r="B15" s="226" t="s">
        <v>41</v>
      </c>
      <c r="C15" s="227"/>
      <c r="D15" s="227"/>
      <c r="E15" s="228"/>
      <c r="F15" s="31" t="str">
        <f>計算シート15!I12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IF(計算シート15!C24&lt;=100000,計算シート15!C24,計算シート15!E24)</f>
        <v>0</v>
      </c>
      <c r="G19" s="27" t="s">
        <v>0</v>
      </c>
    </row>
    <row r="20" spans="1:7" ht="28.5" customHeight="1" thickBot="1" x14ac:dyDescent="0.25">
      <c r="A20" s="22"/>
      <c r="B20" s="24" t="s">
        <v>44</v>
      </c>
      <c r="C20" s="25"/>
      <c r="D20" s="25"/>
      <c r="E20" s="25"/>
      <c r="F20" s="33" t="e">
        <f>IF(計算シート25!C43&lt;=100000,計算シート25!C43,計算シート25!E43)</f>
        <v>#N/A</v>
      </c>
      <c r="G20" s="27" t="s">
        <v>0</v>
      </c>
    </row>
    <row r="21" spans="1:7" ht="28.5" customHeight="1" thickTop="1" x14ac:dyDescent="0.2">
      <c r="A21" s="22"/>
      <c r="B21" s="34" t="s">
        <v>45</v>
      </c>
      <c r="C21" s="35"/>
      <c r="D21" s="35"/>
      <c r="E21" s="35"/>
      <c r="F21" s="36" t="e">
        <f>IF(計算シート25!B49&gt;=0,計算シート25!B49,0)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IFERROR(計算シート15!C24-('加入者(5)'!F15+'加入者(5)'!F21), "0")</f>
        <v>0</v>
      </c>
      <c r="G24" s="32" t="s">
        <v>0</v>
      </c>
    </row>
    <row r="25" spans="1:7" ht="28.5" customHeight="1" thickBot="1" x14ac:dyDescent="0.25">
      <c r="A25" s="22"/>
      <c r="B25" s="38" t="s">
        <v>48</v>
      </c>
      <c r="C25" s="39"/>
      <c r="D25" s="39"/>
      <c r="E25" s="40"/>
      <c r="F25" s="49" t="str">
        <f>IFERROR(計算シート25!C43,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pageMargins left="0.7" right="0.48" top="0.73" bottom="0.47" header="0.3" footer="0.3"/>
  <pageSetup paperSize="9" scale="9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L31"/>
  <sheetViews>
    <sheetView zoomScaleNormal="100" workbookViewId="0">
      <selection activeCell="E20" sqref="E20"/>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IF('加入者(5)'!F6="","",'加入者(5)'!F6)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IF('加入者(5)'!F14="該当",E5)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54"/>
  <sheetViews>
    <sheetView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'加入者(5)'!F7</f>
        <v>0</v>
      </c>
      <c r="G5" t="s">
        <v>0</v>
      </c>
    </row>
    <row r="6" spans="1:18" x14ac:dyDescent="0.2">
      <c r="B6" t="s">
        <v>83</v>
      </c>
      <c r="F6" s="55" t="e">
        <f>'加入者(5)'!F8</f>
        <v>#N/A</v>
      </c>
      <c r="H6" t="s">
        <v>37</v>
      </c>
      <c r="J6" t="s">
        <v>39</v>
      </c>
    </row>
    <row r="7" spans="1:18" x14ac:dyDescent="0.2">
      <c r="B7" t="s">
        <v>84</v>
      </c>
      <c r="F7" s="55" t="str">
        <f>'加入者(5)'!F9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'加入者(5)'!F19+'加入者(5)'!F20-100000</f>
        <v>#N/A</v>
      </c>
      <c r="C49" t="s">
        <v>0</v>
      </c>
    </row>
    <row r="51" spans="2:9" x14ac:dyDescent="0.2">
      <c r="B51" t="s">
        <v>141</v>
      </c>
      <c r="C51" t="s">
        <v>142</v>
      </c>
      <c r="E51" t="s">
        <v>134</v>
      </c>
      <c r="F51" t="s">
        <v>4</v>
      </c>
      <c r="G51" t="s">
        <v>151</v>
      </c>
      <c r="H51" t="s">
        <v>152</v>
      </c>
    </row>
    <row r="52" spans="2:9" x14ac:dyDescent="0.2">
      <c r="B52" t="s">
        <v>26</v>
      </c>
      <c r="C52" t="s">
        <v>85</v>
      </c>
      <c r="E52" s="53">
        <f>計算シート15!J10</f>
        <v>0</v>
      </c>
      <c r="F52" s="54">
        <f>計算式あり!G23</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FF00"/>
  </sheetPr>
  <dimension ref="A1:G26"/>
  <sheetViews>
    <sheetView view="pageBreakPreview" topLeftCell="A13" zoomScaleNormal="100" zoomScaleSheetLayoutView="100" workbookViewId="0">
      <selection activeCell="F14" sqref="F14:G14"/>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計算式あり!E24</f>
        <v>0</v>
      </c>
      <c r="G6" s="27" t="s">
        <v>0</v>
      </c>
    </row>
    <row r="7" spans="1:7" ht="28.5" customHeight="1" x14ac:dyDescent="0.2">
      <c r="A7" s="22"/>
      <c r="B7" s="24" t="s">
        <v>35</v>
      </c>
      <c r="C7" s="25"/>
      <c r="D7" s="25"/>
      <c r="E7" s="25"/>
      <c r="F7" s="26">
        <f>計算式あり!F24</f>
        <v>0</v>
      </c>
      <c r="G7" s="27" t="s">
        <v>0</v>
      </c>
    </row>
    <row r="8" spans="1:7" ht="28.5" customHeight="1" x14ac:dyDescent="0.2">
      <c r="A8" s="22"/>
      <c r="B8" s="28" t="s">
        <v>36</v>
      </c>
      <c r="C8" s="29"/>
      <c r="D8" s="29"/>
      <c r="E8" s="29"/>
      <c r="F8" s="235" t="e">
        <f>VLOOKUP(計算式あり!D24,計算シート26!$B$52:$C$54,2,1)</f>
        <v>#N/A</v>
      </c>
      <c r="G8" s="236"/>
    </row>
    <row r="9" spans="1:7" ht="28.5" customHeight="1" x14ac:dyDescent="0.2">
      <c r="A9" s="22"/>
      <c r="B9" s="237" t="s">
        <v>38</v>
      </c>
      <c r="C9" s="237"/>
      <c r="D9" s="237"/>
      <c r="E9" s="237"/>
      <c r="F9" s="238" t="str">
        <f>IFERROR(VLOOKUP(計算シート26!G52,計算シート26!$H$52:$I$54,2,1),"1,000万円以下")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IFERROR(計算式あり!C24, "非該当")</f>
        <v>0</v>
      </c>
      <c r="G14" s="233"/>
    </row>
    <row r="15" spans="1:7" ht="28.5" customHeight="1" x14ac:dyDescent="0.2">
      <c r="A15" s="23"/>
      <c r="B15" s="226" t="s">
        <v>41</v>
      </c>
      <c r="C15" s="227"/>
      <c r="D15" s="227"/>
      <c r="E15" s="228"/>
      <c r="F15" s="31" t="str">
        <f>計算シート16!I12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IF(計算シート16!C24&lt;=100000,計算シート16!C24,計算シート16!E24)</f>
        <v>0</v>
      </c>
      <c r="G19" s="27" t="s">
        <v>0</v>
      </c>
    </row>
    <row r="20" spans="1:7" ht="28.5" customHeight="1" thickBot="1" x14ac:dyDescent="0.25">
      <c r="A20" s="22"/>
      <c r="B20" s="24" t="s">
        <v>44</v>
      </c>
      <c r="C20" s="25"/>
      <c r="D20" s="25"/>
      <c r="E20" s="25"/>
      <c r="F20" s="33" t="e">
        <f>IF(計算シート26!C43&lt;=100000,計算シート26!C43,計算シート26!E43)</f>
        <v>#N/A</v>
      </c>
      <c r="G20" s="27" t="s">
        <v>0</v>
      </c>
    </row>
    <row r="21" spans="1:7" ht="28.5" customHeight="1" thickTop="1" x14ac:dyDescent="0.2">
      <c r="A21" s="22"/>
      <c r="B21" s="34" t="s">
        <v>45</v>
      </c>
      <c r="C21" s="35"/>
      <c r="D21" s="35"/>
      <c r="E21" s="35"/>
      <c r="F21" s="36" t="e">
        <f>IF(計算シート26!B49&gt;=0,計算シート26!B49,0)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IFERROR(計算シート16!C24-('加入者(6)'!F15+'加入者(6)'!F21), "0")</f>
        <v>0</v>
      </c>
      <c r="G24" s="32" t="s">
        <v>0</v>
      </c>
    </row>
    <row r="25" spans="1:7" ht="28.5" customHeight="1" thickBot="1" x14ac:dyDescent="0.25">
      <c r="A25" s="22"/>
      <c r="B25" s="38" t="s">
        <v>48</v>
      </c>
      <c r="C25" s="39"/>
      <c r="D25" s="39"/>
      <c r="E25" s="40"/>
      <c r="F25" s="49" t="str">
        <f>IFERROR(計算シート26!C43,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pageMargins left="0.7" right="0.48" top="0.73" bottom="0.47" header="0.3" footer="0.3"/>
  <pageSetup paperSize="9" scale="9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L31"/>
  <sheetViews>
    <sheetView zoomScaleNormal="100" workbookViewId="0">
      <selection activeCell="E17" sqref="E17"/>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IF('加入者(6)'!F6="","",'加入者(6)'!F6)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IF('加入者(6)'!F14="該当",E5)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N27"/>
  <sheetViews>
    <sheetView workbookViewId="0">
      <selection activeCell="M22" sqref="M22"/>
    </sheetView>
  </sheetViews>
  <sheetFormatPr defaultRowHeight="13.2" x14ac:dyDescent="0.2"/>
  <cols>
    <col min="1" max="1" width="17.109375" customWidth="1"/>
    <col min="2" max="2" width="11.33203125" bestFit="1" customWidth="1"/>
    <col min="3" max="4" width="11.21875" bestFit="1" customWidth="1"/>
    <col min="5" max="5" width="10.88671875" bestFit="1" customWidth="1"/>
    <col min="6" max="6" width="11.33203125" bestFit="1" customWidth="1"/>
    <col min="7" max="7" width="5.6640625" customWidth="1"/>
    <col min="8" max="8" width="13" bestFit="1" customWidth="1"/>
    <col min="9" max="9" width="9.21875" bestFit="1" customWidth="1"/>
    <col min="10" max="10" width="9.21875" customWidth="1"/>
    <col min="11" max="11" width="9.21875" bestFit="1" customWidth="1"/>
    <col min="12" max="12" width="9.21875" customWidth="1"/>
    <col min="13" max="13" width="13.44140625" bestFit="1" customWidth="1"/>
  </cols>
  <sheetData>
    <row r="1" spans="1:14" ht="13.8" thickBot="1" x14ac:dyDescent="0.25">
      <c r="H1" t="s">
        <v>222</v>
      </c>
    </row>
    <row r="2" spans="1:14" ht="15" thickBot="1" x14ac:dyDescent="0.25">
      <c r="A2" s="16"/>
      <c r="B2" s="16" t="s">
        <v>160</v>
      </c>
      <c r="C2" s="16" t="s">
        <v>161</v>
      </c>
      <c r="D2" s="16" t="s">
        <v>196</v>
      </c>
      <c r="E2" s="16" t="s">
        <v>4</v>
      </c>
      <c r="F2" s="69" t="s">
        <v>32</v>
      </c>
      <c r="H2" s="113">
        <v>8</v>
      </c>
      <c r="I2" s="93" t="s">
        <v>221</v>
      </c>
      <c r="J2" s="93"/>
      <c r="K2" s="93"/>
      <c r="L2" s="93"/>
    </row>
    <row r="3" spans="1:14" ht="13.8" thickBot="1" x14ac:dyDescent="0.25">
      <c r="A3" s="16" t="s">
        <v>162</v>
      </c>
      <c r="B3" s="56">
        <f>SUM(計算式あり!$S$19:$S$25)</f>
        <v>0</v>
      </c>
      <c r="C3" s="56">
        <f>SUM(計算式あり!$T$19:$T$25)</f>
        <v>0</v>
      </c>
      <c r="D3" s="56">
        <f>SUM(計算式あり!$U$19:$U$25,-D24)</f>
        <v>0</v>
      </c>
      <c r="E3" s="97">
        <f>SUM(計算式あり!$G$19:$G$25)</f>
        <v>0</v>
      </c>
      <c r="F3" s="98">
        <f>SUM(B3:E3)</f>
        <v>0</v>
      </c>
      <c r="H3" s="102"/>
      <c r="I3" s="93" t="s">
        <v>212</v>
      </c>
      <c r="J3" s="93"/>
      <c r="K3" s="93"/>
      <c r="L3" s="93"/>
      <c r="M3" s="93"/>
      <c r="N3" s="93"/>
    </row>
    <row r="4" spans="1:14" ht="13.8" thickBot="1" x14ac:dyDescent="0.25">
      <c r="D4" t="s">
        <v>218</v>
      </c>
      <c r="H4" s="218" t="s">
        <v>213</v>
      </c>
      <c r="I4" s="219"/>
      <c r="J4" s="219"/>
      <c r="K4" s="219"/>
      <c r="L4" s="219"/>
      <c r="M4" s="220"/>
    </row>
    <row r="5" spans="1:14" ht="13.8" thickBot="1" x14ac:dyDescent="0.25">
      <c r="A5" s="104" t="s">
        <v>163</v>
      </c>
      <c r="B5" s="105">
        <f>IF(F3&lt;=430000+F13,7,IF(F3&lt;=K13*B7+430000+F13,5,IF(F3&lt;=I13*B7+430000+F13,2,0)))</f>
        <v>7</v>
      </c>
      <c r="H5" s="16" t="s">
        <v>164</v>
      </c>
      <c r="I5" s="57" t="s">
        <v>165</v>
      </c>
      <c r="J5" s="58"/>
      <c r="K5" s="57" t="s">
        <v>166</v>
      </c>
      <c r="L5" s="58"/>
      <c r="M5" s="59" t="s">
        <v>167</v>
      </c>
    </row>
    <row r="6" spans="1:14" x14ac:dyDescent="0.2">
      <c r="A6" t="s">
        <v>220</v>
      </c>
      <c r="H6" s="60" t="s">
        <v>168</v>
      </c>
      <c r="I6" s="61">
        <f>IF(H2=3,I15,IF(H2=4,I16,IF(H2=5,I17,IF(H2=6,I18,IF(H2=7,I19,IF(H2=8,I20,IF(H2=9,I21)))))))*1+N15</f>
        <v>430000</v>
      </c>
      <c r="J6" s="62" t="s">
        <v>169</v>
      </c>
      <c r="K6" s="63">
        <f>IF(H2=3,K15,IF(H2=4,K16,IF(H2=5,K17,IF(H2=6,K18,IF(H2=7,K19,IF(H2=8,K20,IF(H2=9,K21)))))))*1+N15</f>
        <v>430000</v>
      </c>
      <c r="L6" s="62" t="s">
        <v>169</v>
      </c>
      <c r="M6" s="221" t="s">
        <v>180</v>
      </c>
    </row>
    <row r="7" spans="1:14" x14ac:dyDescent="0.2">
      <c r="A7" s="16" t="s">
        <v>170</v>
      </c>
      <c r="B7" s="16">
        <f>計算式あり!R7</f>
        <v>0</v>
      </c>
      <c r="D7" s="224" t="s">
        <v>186</v>
      </c>
      <c r="E7" s="224"/>
      <c r="F7" s="59">
        <f>計算式あり!W43</f>
        <v>0</v>
      </c>
      <c r="H7" s="60" t="s">
        <v>171</v>
      </c>
      <c r="I7" s="61">
        <f>IF(H2=3,I15,IF(H2=4,I16,IF(H2=5,I17,IF(H2=6,I18,IF(H2=7,I19,IF(H2=8,I20,IF(H2=9,I21)))))))*2+N15</f>
        <v>430000</v>
      </c>
      <c r="J7" s="62" t="s">
        <v>169</v>
      </c>
      <c r="K7" s="63">
        <f>IF(H2=3,K15,IF(H2=4,K16,IF(H2=5,K17,IF(H2=6,K18,IF(H2=7,K19,IF(H2=8,K20,IF(H2=9,K21)))))))*2+N15</f>
        <v>430000</v>
      </c>
      <c r="L7" s="62" t="s">
        <v>169</v>
      </c>
      <c r="M7" s="222"/>
    </row>
    <row r="8" spans="1:14" x14ac:dyDescent="0.2">
      <c r="F8" s="72"/>
      <c r="H8" s="60" t="s">
        <v>172</v>
      </c>
      <c r="I8" s="61">
        <f>IF(H2=3,I15,IF(H2=4,I16,IF(H2=5,I17,IF(H2=6,I18,IF(H2=7,I19,IF(H2=8,I20,IF(H2=9,I21)))))))*3+N15</f>
        <v>430000</v>
      </c>
      <c r="J8" s="62" t="s">
        <v>169</v>
      </c>
      <c r="K8" s="63">
        <f>IF(H2=3,K15,IF(H2=4,K16,IF(H2=5,K17,IF(H2=6,K18,IF(H2=7,K19,IF(H2=8,K20,IF(H2=9,K21)))))))*3+N15</f>
        <v>430000</v>
      </c>
      <c r="L8" s="62" t="s">
        <v>169</v>
      </c>
      <c r="M8" s="222"/>
    </row>
    <row r="9" spans="1:14" x14ac:dyDescent="0.2">
      <c r="A9" s="69" t="s">
        <v>188</v>
      </c>
      <c r="B9" s="75" t="s">
        <v>186</v>
      </c>
      <c r="C9" s="70"/>
      <c r="D9" s="72"/>
      <c r="E9" s="73"/>
      <c r="F9" s="76" t="s">
        <v>184</v>
      </c>
      <c r="G9" s="77"/>
      <c r="H9" s="60" t="s">
        <v>173</v>
      </c>
      <c r="I9" s="61">
        <f>IF(H2=3,I15,IF(H2=4,I16,IF(H2=5,I17,IF(H2=6,I18,IF(H2=7,I19,IF(H2=8,I20,IF(H2=9,I21)))))))*4+N15</f>
        <v>430000</v>
      </c>
      <c r="J9" s="62" t="s">
        <v>169</v>
      </c>
      <c r="K9" s="63">
        <f>IF(H2=3,K15,IF(H2=4,K16,IF(H2=5,K17,IF(H2=6,K18,IF(H2=7,K19,IF(H2=8,K20,IF(H2=9,K21)))))))*4+N15</f>
        <v>430000</v>
      </c>
      <c r="L9" s="62" t="s">
        <v>169</v>
      </c>
      <c r="M9" s="222"/>
    </row>
    <row r="10" spans="1:14" x14ac:dyDescent="0.2">
      <c r="A10" s="68" t="s">
        <v>185</v>
      </c>
      <c r="B10" s="67">
        <f>F7</f>
        <v>0</v>
      </c>
      <c r="C10" s="71" t="s">
        <v>189</v>
      </c>
      <c r="D10" s="71">
        <v>1</v>
      </c>
      <c r="E10" s="71" t="s">
        <v>187</v>
      </c>
      <c r="F10" s="79">
        <f>B10-D10</f>
        <v>-1</v>
      </c>
      <c r="G10" s="78"/>
      <c r="H10" s="60" t="s">
        <v>174</v>
      </c>
      <c r="I10" s="61">
        <f>IF(H2=3,I15,IF(H2=4,I16,IF(H2=5,I17,IF(H2=6,I18,IF(H2=7,I19,IF(H2=8,I20,IF(H2=9,I20)))))))*5+N15</f>
        <v>430000</v>
      </c>
      <c r="J10" s="62" t="s">
        <v>169</v>
      </c>
      <c r="K10" s="63">
        <f>IF(H2=3,K15,IF(H2=4,K16,IF(H2=5,K17,IF(H2=6,K18,IF(H2=7,K19,IF(H2=8,K20,IF(H2=9,K21)))))))*5+N15</f>
        <v>430000</v>
      </c>
      <c r="L10" s="62" t="s">
        <v>169</v>
      </c>
      <c r="M10" s="222"/>
    </row>
    <row r="11" spans="1:14" x14ac:dyDescent="0.2">
      <c r="E11" s="80"/>
      <c r="H11" s="60" t="s">
        <v>175</v>
      </c>
      <c r="I11" s="61">
        <f>IF(H2=3,I15,IF(H2=4,I16,IF(H2=5,I17,IF(H2=6,I18,IF(H2=7,I19,IF(H2=8,I20,IF(H2=9,I21)))))))*6+N15</f>
        <v>430000</v>
      </c>
      <c r="J11" s="62" t="s">
        <v>169</v>
      </c>
      <c r="K11" s="63">
        <f>IF(H2=3,K15,IF(H2=4,K16,IF(H2=5,K17,IF(H2=6,K18,IF(H2=7,K19,IF(H2=8,K20,IF(H2=9,K21)))))))*6+N15</f>
        <v>430000</v>
      </c>
      <c r="L11" s="62" t="s">
        <v>169</v>
      </c>
      <c r="M11" s="222"/>
    </row>
    <row r="12" spans="1:14" ht="13.8" thickBot="1" x14ac:dyDescent="0.25">
      <c r="A12" s="103" t="s">
        <v>219</v>
      </c>
      <c r="B12" s="57">
        <v>100000</v>
      </c>
      <c r="C12" s="74" t="s">
        <v>190</v>
      </c>
      <c r="D12" s="66">
        <f>F10</f>
        <v>-1</v>
      </c>
      <c r="E12" s="66" t="s">
        <v>187</v>
      </c>
      <c r="F12" s="100">
        <f>B12*D12</f>
        <v>-100000</v>
      </c>
      <c r="H12" s="60" t="s">
        <v>176</v>
      </c>
      <c r="I12" s="61">
        <f>IF(H2=3,I15,IF(H2=4,I16,IF(H2=5,I17,IF(H2=6,I18,IF(H2=7,I19,IF(H2=8,I20,IF(H2=9,I21)))))))*7+N15</f>
        <v>430000</v>
      </c>
      <c r="J12" s="62" t="s">
        <v>169</v>
      </c>
      <c r="K12" s="63">
        <f>IF(H2=3,K15,IF(H2=4,K16,IF(H2=5,K17,IF(H2=6,K18,IF(H2=7,K19,IF(H2=8,K20,IF(H2=9,K21)))))))*7+N15</f>
        <v>430000</v>
      </c>
      <c r="L12" s="62" t="s">
        <v>169</v>
      </c>
      <c r="M12" s="223"/>
    </row>
    <row r="13" spans="1:14" ht="13.8" thickBot="1" x14ac:dyDescent="0.25">
      <c r="E13" s="84" t="s">
        <v>191</v>
      </c>
      <c r="F13" s="99">
        <f>IF(F12&gt;=1,F12,0)</f>
        <v>0</v>
      </c>
      <c r="G13" s="82"/>
      <c r="H13" s="60" t="s">
        <v>177</v>
      </c>
      <c r="I13" s="61">
        <f>IF(H2=3,I15,IF(H2=4,I16,IF(H2=5,I17,IF(H2=6,I18,IF(H2=7,I19,IF(H2=8,I20,IF(H2=9,I21)))))))</f>
        <v>0</v>
      </c>
      <c r="J13" s="62" t="s">
        <v>178</v>
      </c>
      <c r="K13" s="63">
        <f>IF(H2=3,K15,IF(H2=4,K16,IF(H2=5,K17,IF(H2=6,K18,IF(H2=7,K19,IF(H2=8,K20,IF(H2=9,K21)))))))</f>
        <v>0</v>
      </c>
      <c r="L13" s="62" t="s">
        <v>178</v>
      </c>
      <c r="M13" s="60" t="s">
        <v>179</v>
      </c>
    </row>
    <row r="14" spans="1:14" ht="13.8" thickBot="1" x14ac:dyDescent="0.25">
      <c r="B14" s="65"/>
      <c r="F14" s="83"/>
      <c r="H14" s="108"/>
      <c r="I14" s="108"/>
      <c r="J14" s="108"/>
      <c r="K14" s="108"/>
      <c r="L14" s="64"/>
      <c r="M14" s="108"/>
      <c r="N14" s="109"/>
    </row>
    <row r="15" spans="1:14" ht="13.8" thickBot="1" x14ac:dyDescent="0.25">
      <c r="A15" s="129" t="s">
        <v>217</v>
      </c>
      <c r="B15" s="15" t="s">
        <v>198</v>
      </c>
      <c r="C15">
        <v>150000</v>
      </c>
      <c r="H15" s="115">
        <v>3</v>
      </c>
      <c r="I15" s="116">
        <v>520000</v>
      </c>
      <c r="J15" s="117"/>
      <c r="K15" s="118">
        <v>285000</v>
      </c>
      <c r="L15" s="112"/>
      <c r="M15" s="110" t="s">
        <v>243</v>
      </c>
      <c r="N15" s="114">
        <v>430000</v>
      </c>
    </row>
    <row r="16" spans="1:14" x14ac:dyDescent="0.2">
      <c r="A16" s="16" t="s">
        <v>193</v>
      </c>
      <c r="B16" s="16" t="s">
        <v>194</v>
      </c>
      <c r="C16" s="78"/>
      <c r="D16" s="87" t="s">
        <v>199</v>
      </c>
      <c r="H16" s="119">
        <v>4</v>
      </c>
      <c r="I16" s="120">
        <v>520000</v>
      </c>
      <c r="J16" s="121"/>
      <c r="K16" s="122">
        <v>285000</v>
      </c>
      <c r="N16" s="107"/>
    </row>
    <row r="17" spans="1:12" x14ac:dyDescent="0.2">
      <c r="A17" s="81" t="s">
        <v>5</v>
      </c>
      <c r="B17" s="60">
        <f>計算式あり!U19-150000</f>
        <v>-150000</v>
      </c>
      <c r="C17" s="92">
        <f>IF(B17&lt;=150000,B17,C15)</f>
        <v>-150000</v>
      </c>
      <c r="D17" s="90" t="str">
        <f>IF(C17&gt;=0,C17,"0")</f>
        <v>0</v>
      </c>
      <c r="H17" s="119">
        <v>5</v>
      </c>
      <c r="I17" s="120">
        <v>535000</v>
      </c>
      <c r="J17" s="121"/>
      <c r="K17" s="122">
        <v>290000</v>
      </c>
      <c r="L17" s="111"/>
    </row>
    <row r="18" spans="1:12" x14ac:dyDescent="0.2">
      <c r="A18" s="81" t="s">
        <v>6</v>
      </c>
      <c r="B18" s="60">
        <f>計算式あり!U20-150000</f>
        <v>-150000</v>
      </c>
      <c r="C18" s="92">
        <f>IF(B18&lt;=150000,B18,C15)</f>
        <v>-150000</v>
      </c>
      <c r="D18" s="90" t="str">
        <f t="shared" ref="D18:D23" si="0">IF(C18&gt;=0,C18,"0")</f>
        <v>0</v>
      </c>
      <c r="H18" s="119">
        <v>6</v>
      </c>
      <c r="I18" s="120">
        <v>545000</v>
      </c>
      <c r="J18" s="121"/>
      <c r="K18" s="122">
        <v>295000</v>
      </c>
    </row>
    <row r="19" spans="1:12" x14ac:dyDescent="0.2">
      <c r="A19" s="81" t="s">
        <v>7</v>
      </c>
      <c r="B19" s="60">
        <f>計算式あり!U21-150000</f>
        <v>-150000</v>
      </c>
      <c r="C19" s="92">
        <f>IF(B19&lt;=150000,B19,C15)</f>
        <v>-150000</v>
      </c>
      <c r="D19" s="88" t="str">
        <f t="shared" si="0"/>
        <v>0</v>
      </c>
      <c r="H19" s="119">
        <v>7</v>
      </c>
      <c r="I19" s="120">
        <v>570000</v>
      </c>
      <c r="J19" s="121"/>
      <c r="K19" s="122">
        <v>310000</v>
      </c>
    </row>
    <row r="20" spans="1:12" x14ac:dyDescent="0.2">
      <c r="A20" s="81" t="s">
        <v>8</v>
      </c>
      <c r="B20" s="60">
        <f>計算式あり!U22-150000</f>
        <v>-150000</v>
      </c>
      <c r="C20" s="92">
        <f>IF(B20&lt;=150000,B20,C15)</f>
        <v>-150000</v>
      </c>
      <c r="D20" s="90" t="str">
        <f t="shared" si="0"/>
        <v>0</v>
      </c>
      <c r="H20" s="119">
        <v>8</v>
      </c>
      <c r="I20" s="120"/>
      <c r="J20" s="121"/>
      <c r="K20" s="122"/>
    </row>
    <row r="21" spans="1:12" x14ac:dyDescent="0.2">
      <c r="A21" s="81" t="s">
        <v>9</v>
      </c>
      <c r="B21" s="60">
        <f>計算式あり!U23-150000</f>
        <v>-150000</v>
      </c>
      <c r="C21" s="92">
        <f>IF(B21&lt;=150000,B21,C15)</f>
        <v>-150000</v>
      </c>
      <c r="D21" s="90" t="str">
        <f>IF(C21&gt;=0,C21,"0")</f>
        <v>0</v>
      </c>
      <c r="H21" s="119">
        <v>9</v>
      </c>
      <c r="I21" s="120"/>
      <c r="J21" s="121"/>
      <c r="K21" s="122"/>
    </row>
    <row r="22" spans="1:12" x14ac:dyDescent="0.2">
      <c r="A22" s="81" t="s">
        <v>10</v>
      </c>
      <c r="B22" s="60">
        <f>計算式あり!U24-150000</f>
        <v>-150000</v>
      </c>
      <c r="C22" s="92">
        <f>IF(B22&lt;=150000,B22,C15)</f>
        <v>-150000</v>
      </c>
      <c r="D22" s="90" t="str">
        <f t="shared" si="0"/>
        <v>0</v>
      </c>
      <c r="E22" s="86"/>
      <c r="H22" s="119"/>
      <c r="I22" s="120"/>
      <c r="J22" s="121"/>
      <c r="K22" s="122"/>
    </row>
    <row r="23" spans="1:12" ht="13.8" thickBot="1" x14ac:dyDescent="0.25">
      <c r="A23" s="81" t="s">
        <v>11</v>
      </c>
      <c r="B23" s="60">
        <f>計算式あり!U25-150000</f>
        <v>-150000</v>
      </c>
      <c r="C23" s="91">
        <f>IF(B23&lt;=150000,B23,C15)</f>
        <v>-150000</v>
      </c>
      <c r="D23" s="89" t="str">
        <f t="shared" si="0"/>
        <v>0</v>
      </c>
      <c r="E23" s="86"/>
      <c r="H23" s="123"/>
      <c r="I23" s="124"/>
      <c r="J23" s="121"/>
      <c r="K23" s="125"/>
    </row>
    <row r="24" spans="1:12" ht="13.8" thickBot="1" x14ac:dyDescent="0.25">
      <c r="B24" s="218" t="s">
        <v>197</v>
      </c>
      <c r="C24" s="225"/>
      <c r="D24" s="85">
        <f>SUM(D17:D23)</f>
        <v>0</v>
      </c>
      <c r="H24" s="126"/>
      <c r="I24" s="127">
        <f>IF(H2=3,I15,IF(H2=4,I16,IF(H2=5,I17,IF(H2=6,I18,IF(H2=7,I19,IF(H2=8,I20,IF(H2=9,I21)))))))</f>
        <v>0</v>
      </c>
      <c r="J24" s="127"/>
      <c r="K24" s="128">
        <f>IF(H2=3,K15,IF(H2=4,K16,IF(H2=5,K17,IF(H2=6,K18,IF(H2=7,K19,IF(H2=8,K20,IF(H2=9,K21)))))))</f>
        <v>0</v>
      </c>
    </row>
    <row r="27" spans="1:12" x14ac:dyDescent="0.2">
      <c r="H27" t="s">
        <v>208</v>
      </c>
    </row>
  </sheetData>
  <sheetProtection selectLockedCells="1"/>
  <protectedRanges>
    <protectedRange sqref="H2" name="範囲1"/>
  </protectedRanges>
  <mergeCells count="4">
    <mergeCell ref="H4:M4"/>
    <mergeCell ref="M6:M12"/>
    <mergeCell ref="D7:E7"/>
    <mergeCell ref="B24:C24"/>
  </mergeCells>
  <phoneticPr fontId="2"/>
  <pageMargins left="0.7" right="0.7" top="0.75" bottom="0.75" header="0.3" footer="0.3"/>
  <pageSetup paperSize="9" scale="9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R54"/>
  <sheetViews>
    <sheetView topLeftCell="A34"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'加入者(6)'!F7</f>
        <v>0</v>
      </c>
      <c r="G5" t="s">
        <v>0</v>
      </c>
    </row>
    <row r="6" spans="1:18" x14ac:dyDescent="0.2">
      <c r="B6" t="s">
        <v>83</v>
      </c>
      <c r="F6" s="55" t="e">
        <f>'加入者(6)'!F8</f>
        <v>#N/A</v>
      </c>
      <c r="H6" t="s">
        <v>37</v>
      </c>
      <c r="J6" t="s">
        <v>39</v>
      </c>
    </row>
    <row r="7" spans="1:18" x14ac:dyDescent="0.2">
      <c r="B7" t="s">
        <v>84</v>
      </c>
      <c r="F7" s="55" t="str">
        <f>'加入者(6)'!F9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'加入者(6)'!F19+'加入者(6)'!F20-100000</f>
        <v>#N/A</v>
      </c>
      <c r="C49" t="s">
        <v>0</v>
      </c>
    </row>
    <row r="51" spans="2:9" x14ac:dyDescent="0.2">
      <c r="B51" t="s">
        <v>141</v>
      </c>
      <c r="C51" t="s">
        <v>142</v>
      </c>
      <c r="E51" t="s">
        <v>134</v>
      </c>
      <c r="F51" t="s">
        <v>4</v>
      </c>
      <c r="G51" t="s">
        <v>151</v>
      </c>
      <c r="H51" t="s">
        <v>152</v>
      </c>
    </row>
    <row r="52" spans="2:9" x14ac:dyDescent="0.2">
      <c r="B52" t="s">
        <v>26</v>
      </c>
      <c r="C52" t="s">
        <v>85</v>
      </c>
      <c r="E52" s="53">
        <f>計算シート16!J10</f>
        <v>0</v>
      </c>
      <c r="F52" s="54">
        <f>計算式あり!G24</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FF00"/>
  </sheetPr>
  <dimension ref="A1:G26"/>
  <sheetViews>
    <sheetView view="pageBreakPreview" topLeftCell="A10" zoomScaleNormal="100" zoomScaleSheetLayoutView="100" workbookViewId="0">
      <selection activeCell="F14" sqref="F14:G14"/>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計算式あり!E25</f>
        <v>0</v>
      </c>
      <c r="G6" s="27" t="s">
        <v>0</v>
      </c>
    </row>
    <row r="7" spans="1:7" ht="28.5" customHeight="1" x14ac:dyDescent="0.2">
      <c r="A7" s="22"/>
      <c r="B7" s="24" t="s">
        <v>35</v>
      </c>
      <c r="C7" s="25"/>
      <c r="D7" s="25"/>
      <c r="E7" s="25"/>
      <c r="F7" s="26">
        <f>計算式あり!F25</f>
        <v>0</v>
      </c>
      <c r="G7" s="27" t="s">
        <v>0</v>
      </c>
    </row>
    <row r="8" spans="1:7" ht="28.5" customHeight="1" x14ac:dyDescent="0.2">
      <c r="A8" s="22"/>
      <c r="B8" s="28" t="s">
        <v>36</v>
      </c>
      <c r="C8" s="29"/>
      <c r="D8" s="29"/>
      <c r="E8" s="29"/>
      <c r="F8" s="235" t="e">
        <f>VLOOKUP(計算式あり!D25,計算シート27!$B$52:$C$54,2,1)</f>
        <v>#N/A</v>
      </c>
      <c r="G8" s="236"/>
    </row>
    <row r="9" spans="1:7" ht="28.5" customHeight="1" x14ac:dyDescent="0.2">
      <c r="A9" s="22"/>
      <c r="B9" s="237" t="s">
        <v>38</v>
      </c>
      <c r="C9" s="237"/>
      <c r="D9" s="237"/>
      <c r="E9" s="237"/>
      <c r="F9" s="238" t="str">
        <f>IFERROR(VLOOKUP(計算シート27!G52,計算シート27!$H$52:$I$54,2,1),"1,000万円以下")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IFERROR(計算式あり!C25, "非該当")</f>
        <v>0</v>
      </c>
      <c r="G14" s="233"/>
    </row>
    <row r="15" spans="1:7" ht="28.5" customHeight="1" x14ac:dyDescent="0.2">
      <c r="A15" s="23"/>
      <c r="B15" s="226" t="s">
        <v>41</v>
      </c>
      <c r="C15" s="227"/>
      <c r="D15" s="227"/>
      <c r="E15" s="228"/>
      <c r="F15" s="31" t="str">
        <f>計算シート17!I12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IF(計算シート17!C24&lt;=100000,計算シート17!C24,計算シート17!E24)</f>
        <v>0</v>
      </c>
      <c r="G19" s="27" t="s">
        <v>0</v>
      </c>
    </row>
    <row r="20" spans="1:7" ht="28.5" customHeight="1" thickBot="1" x14ac:dyDescent="0.25">
      <c r="A20" s="22"/>
      <c r="B20" s="24" t="s">
        <v>44</v>
      </c>
      <c r="C20" s="25"/>
      <c r="D20" s="25"/>
      <c r="E20" s="25"/>
      <c r="F20" s="33" t="e">
        <f>IF(計算シート27!C43&lt;=100000,計算シート27!C43,計算シート27!E43)</f>
        <v>#N/A</v>
      </c>
      <c r="G20" s="27" t="s">
        <v>0</v>
      </c>
    </row>
    <row r="21" spans="1:7" ht="28.5" customHeight="1" thickTop="1" x14ac:dyDescent="0.2">
      <c r="A21" s="22"/>
      <c r="B21" s="34" t="s">
        <v>45</v>
      </c>
      <c r="C21" s="35"/>
      <c r="D21" s="35"/>
      <c r="E21" s="35"/>
      <c r="F21" s="36" t="e">
        <f>IF(計算シート27!B49&gt;=0,計算シート27!B49,0)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IFERROR(計算シート17!C24-('加入者(7)'!F15+'加入者(7)'!F21), "0")</f>
        <v>0</v>
      </c>
      <c r="G24" s="32" t="s">
        <v>0</v>
      </c>
    </row>
    <row r="25" spans="1:7" ht="28.5" customHeight="1" thickBot="1" x14ac:dyDescent="0.25">
      <c r="A25" s="22"/>
      <c r="B25" s="38" t="s">
        <v>48</v>
      </c>
      <c r="C25" s="39"/>
      <c r="D25" s="39"/>
      <c r="E25" s="40"/>
      <c r="F25" s="49" t="str">
        <f>IFERROR(計算シート27!C43,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dataValidations count="1">
    <dataValidation allowBlank="1" showInputMessage="1" showErrorMessage="1" promptTitle="公的年金等の収入を入力した方は年齢を選択してください。" prompt="※１月１日現在の年齢を選択してください。" sqref="F8:G8" xr:uid="{00000000-0002-0000-1400-000000000000}"/>
  </dataValidations>
  <pageMargins left="0.7" right="0.48" top="0.73" bottom="0.47" header="0.3" footer="0.3"/>
  <pageSetup paperSize="9" scale="9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L31"/>
  <sheetViews>
    <sheetView zoomScaleNormal="100" workbookViewId="0">
      <selection activeCell="F18" sqref="F18"/>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IF('加入者(7)'!F6="","",'加入者(7)'!F6)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IF('加入者(7)'!F14="該当",E5)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R54"/>
  <sheetViews>
    <sheetView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'加入者(7)'!F7</f>
        <v>0</v>
      </c>
      <c r="G5" t="s">
        <v>0</v>
      </c>
    </row>
    <row r="6" spans="1:18" x14ac:dyDescent="0.2">
      <c r="B6" t="s">
        <v>83</v>
      </c>
      <c r="F6" s="55" t="e">
        <f>'加入者(7)'!F8</f>
        <v>#N/A</v>
      </c>
      <c r="H6" t="s">
        <v>37</v>
      </c>
      <c r="J6" t="s">
        <v>39</v>
      </c>
    </row>
    <row r="7" spans="1:18" x14ac:dyDescent="0.2">
      <c r="B7" t="s">
        <v>84</v>
      </c>
      <c r="F7" s="55" t="str">
        <f>'加入者(7)'!F9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'加入者(7)'!F19+'加入者(7)'!F20-100000</f>
        <v>#N/A</v>
      </c>
      <c r="C49" t="s">
        <v>0</v>
      </c>
    </row>
    <row r="51" spans="2:9" x14ac:dyDescent="0.2">
      <c r="B51" t="s">
        <v>141</v>
      </c>
      <c r="C51" t="s">
        <v>142</v>
      </c>
      <c r="E51" t="s">
        <v>134</v>
      </c>
      <c r="F51" t="s">
        <v>4</v>
      </c>
      <c r="G51" t="s">
        <v>151</v>
      </c>
      <c r="H51" t="s">
        <v>152</v>
      </c>
    </row>
    <row r="52" spans="2:9" x14ac:dyDescent="0.2">
      <c r="B52" t="s">
        <v>26</v>
      </c>
      <c r="C52" t="s">
        <v>85</v>
      </c>
      <c r="E52" s="53">
        <f>計算シート17!J10</f>
        <v>0</v>
      </c>
      <c r="F52" s="54">
        <f>計算式あり!G25</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G26"/>
  <sheetViews>
    <sheetView view="pageBreakPreview" topLeftCell="A13" zoomScaleNormal="100" zoomScaleSheetLayoutView="100" workbookViewId="0">
      <selection activeCell="F6" sqref="F6"/>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計算式あり!E19</f>
        <v>0</v>
      </c>
      <c r="G6" s="27" t="s">
        <v>0</v>
      </c>
    </row>
    <row r="7" spans="1:7" ht="28.5" customHeight="1" x14ac:dyDescent="0.2">
      <c r="A7" s="22"/>
      <c r="B7" s="24" t="s">
        <v>35</v>
      </c>
      <c r="C7" s="25"/>
      <c r="D7" s="25"/>
      <c r="E7" s="25"/>
      <c r="F7" s="26">
        <f>計算式あり!F19</f>
        <v>0</v>
      </c>
      <c r="G7" s="27" t="s">
        <v>0</v>
      </c>
    </row>
    <row r="8" spans="1:7" ht="28.5" customHeight="1" x14ac:dyDescent="0.2">
      <c r="A8" s="22"/>
      <c r="B8" s="28" t="s">
        <v>36</v>
      </c>
      <c r="C8" s="29"/>
      <c r="D8" s="29"/>
      <c r="E8" s="29"/>
      <c r="F8" s="235" t="e">
        <f>VLOOKUP(計算式あり!D19,計算シート２!$B$52:$C$54,2,1)</f>
        <v>#N/A</v>
      </c>
      <c r="G8" s="236"/>
    </row>
    <row r="9" spans="1:7" ht="28.5" customHeight="1" x14ac:dyDescent="0.2">
      <c r="A9" s="22"/>
      <c r="B9" s="237" t="s">
        <v>38</v>
      </c>
      <c r="C9" s="237"/>
      <c r="D9" s="237"/>
      <c r="E9" s="237"/>
      <c r="F9" s="238" t="str">
        <f>IFERROR(VLOOKUP(計算シート２!G52,計算シート２!$H$52:$I$54,2,1),"1,000万円以下")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IFERROR(計算式あり!C19, "非該当")</f>
        <v>0</v>
      </c>
      <c r="G14" s="233"/>
    </row>
    <row r="15" spans="1:7" ht="28.5" customHeight="1" x14ac:dyDescent="0.2">
      <c r="A15" s="23"/>
      <c r="B15" s="226" t="s">
        <v>41</v>
      </c>
      <c r="C15" s="227"/>
      <c r="D15" s="227"/>
      <c r="E15" s="228"/>
      <c r="F15" s="31" t="str">
        <f>計算シート１!I12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IF(計算シート１!C24&lt;=100000,計算シート１!C24,計算シート１!E24)</f>
        <v>0</v>
      </c>
      <c r="G19" s="27" t="s">
        <v>0</v>
      </c>
    </row>
    <row r="20" spans="1:7" ht="28.5" customHeight="1" thickBot="1" x14ac:dyDescent="0.25">
      <c r="A20" s="22"/>
      <c r="B20" s="24" t="s">
        <v>44</v>
      </c>
      <c r="C20" s="25"/>
      <c r="D20" s="25"/>
      <c r="E20" s="25"/>
      <c r="F20" s="33" t="e">
        <f>IF(計算シート２!C43&lt;=100000,計算シート２!C43,計算シート２!E43)</f>
        <v>#N/A</v>
      </c>
      <c r="G20" s="27" t="s">
        <v>0</v>
      </c>
    </row>
    <row r="21" spans="1:7" ht="28.5" customHeight="1" thickTop="1" x14ac:dyDescent="0.2">
      <c r="A21" s="22"/>
      <c r="B21" s="34" t="s">
        <v>45</v>
      </c>
      <c r="C21" s="35"/>
      <c r="D21" s="35"/>
      <c r="E21" s="35"/>
      <c r="F21" s="36" t="e">
        <f>IF(計算シート２!B49&gt;=0,計算シート２!B49,0)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IFERROR(計算シート１!C24-('加入者(1)'!F15+'加入者(1)'!F21), "0")</f>
        <v>0</v>
      </c>
      <c r="G24" s="32" t="s">
        <v>0</v>
      </c>
    </row>
    <row r="25" spans="1:7" ht="28.5" customHeight="1" thickBot="1" x14ac:dyDescent="0.25">
      <c r="A25" s="22"/>
      <c r="B25" s="38" t="s">
        <v>48</v>
      </c>
      <c r="C25" s="39"/>
      <c r="D25" s="39"/>
      <c r="E25" s="40"/>
      <c r="F25" s="49" t="str">
        <f>IFERROR(計算シート２!C43, "0")</f>
        <v>0</v>
      </c>
      <c r="G25" s="40" t="s">
        <v>0</v>
      </c>
    </row>
    <row r="26" spans="1:7" ht="28.5" customHeight="1" thickTop="1" x14ac:dyDescent="0.2">
      <c r="A26" s="22"/>
      <c r="B26" s="41" t="s">
        <v>49</v>
      </c>
      <c r="C26" s="42"/>
      <c r="D26" s="42"/>
      <c r="E26" s="43"/>
      <c r="F26" s="44">
        <f>F24+F25</f>
        <v>0</v>
      </c>
      <c r="G26" s="43" t="s">
        <v>0</v>
      </c>
    </row>
  </sheetData>
  <mergeCells count="7">
    <mergeCell ref="B15:E15"/>
    <mergeCell ref="B14:E14"/>
    <mergeCell ref="F14:G14"/>
    <mergeCell ref="E3:F3"/>
    <mergeCell ref="F8:G8"/>
    <mergeCell ref="B9:E9"/>
    <mergeCell ref="F9:G9"/>
  </mergeCells>
  <phoneticPr fontId="2"/>
  <dataValidations xWindow="746" yWindow="331" count="3">
    <dataValidation allowBlank="1" showErrorMessage="1" promptTitle="給与収入額を入力してください。" prompt="・給与等の収入金額が８５０万円を超えて下記２のア～ウに該当する場合は、下記２．所得金額調整額の「該当」するを選択してください。_x000a_・公的年金等の収入がなければ、４．給与所得金額をHP用に入力してください。_x000a_" sqref="F6" xr:uid="{00000000-0002-0000-0200-000000000000}"/>
    <dataValidation allowBlank="1" showErrorMessage="1" promptTitle="公的年金等の収入額を入力してください。" prompt="公的年金等の収入額を入力した場合、下記の年齢および公的年金等に係る雑所得以外の所得に係る合計所得金額を選択してください。" sqref="F7" xr:uid="{00000000-0002-0000-0200-000001000000}"/>
    <dataValidation allowBlank="1" showErrorMessage="1" promptTitle="公的年金等の収入を入力した方は合計所得金額を選択してください。" prompt="※公的年金等に係る雑所得以外の所得に係る合計所得金額となりますので、選択するときは注意してください。" sqref="F9:G9" xr:uid="{00000000-0002-0000-0200-000002000000}"/>
  </dataValidations>
  <pageMargins left="0.7" right="0.48" top="0.73" bottom="0.47"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31"/>
  <sheetViews>
    <sheetView zoomScaleNormal="100" workbookViewId="0">
      <selection activeCell="E20" sqref="E20"/>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IF('加入者(1)'!F6="","",'加入者(1)'!F6)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IF('加入者(1)'!F14="該当",E5)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c r="F24" t="s">
        <v>77</v>
      </c>
    </row>
    <row r="27" spans="1:12" x14ac:dyDescent="0.2">
      <c r="A27" t="s">
        <v>78</v>
      </c>
    </row>
    <row r="28" spans="1:12" x14ac:dyDescent="0.2">
      <c r="A28" t="s">
        <v>79</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54"/>
  <sheetViews>
    <sheetView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'加入者(1)'!F7</f>
        <v>0</v>
      </c>
      <c r="G5" t="s">
        <v>0</v>
      </c>
    </row>
    <row r="6" spans="1:18" x14ac:dyDescent="0.2">
      <c r="B6" t="s">
        <v>83</v>
      </c>
      <c r="F6" s="15" t="e">
        <f>'加入者(1)'!F8</f>
        <v>#N/A</v>
      </c>
      <c r="H6" t="s">
        <v>37</v>
      </c>
      <c r="J6" t="s">
        <v>39</v>
      </c>
    </row>
    <row r="7" spans="1:18" x14ac:dyDescent="0.2">
      <c r="B7" t="s">
        <v>84</v>
      </c>
      <c r="F7" s="15" t="str">
        <f>'加入者(1)'!F9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95</v>
      </c>
      <c r="E14" s="19">
        <v>4100000</v>
      </c>
      <c r="F14" s="16" t="s">
        <v>96</v>
      </c>
      <c r="H14" s="245"/>
      <c r="I14" s="17">
        <v>3300001</v>
      </c>
      <c r="J14" s="18" t="s">
        <v>97</v>
      </c>
      <c r="K14" s="19">
        <v>4100000</v>
      </c>
      <c r="L14" s="16" t="s">
        <v>98</v>
      </c>
      <c r="N14" s="245"/>
      <c r="O14" s="17">
        <v>3300001</v>
      </c>
      <c r="P14" s="18" t="s">
        <v>99</v>
      </c>
      <c r="Q14" s="19">
        <v>4100000</v>
      </c>
      <c r="R14" s="16" t="s">
        <v>100</v>
      </c>
    </row>
    <row r="15" spans="1:18" x14ac:dyDescent="0.2">
      <c r="B15" s="245"/>
      <c r="C15" s="17">
        <v>4100001</v>
      </c>
      <c r="D15" s="18" t="s">
        <v>99</v>
      </c>
      <c r="E15" s="19">
        <v>7700000</v>
      </c>
      <c r="F15" s="16" t="s">
        <v>101</v>
      </c>
      <c r="H15" s="245"/>
      <c r="I15" s="17">
        <v>4100001</v>
      </c>
      <c r="J15" s="18" t="s">
        <v>102</v>
      </c>
      <c r="K15" s="19">
        <v>7700000</v>
      </c>
      <c r="L15" s="16" t="s">
        <v>103</v>
      </c>
      <c r="N15" s="245"/>
      <c r="O15" s="17">
        <v>4100001</v>
      </c>
      <c r="P15" s="18" t="s">
        <v>95</v>
      </c>
      <c r="Q15" s="19">
        <v>7700000</v>
      </c>
      <c r="R15" s="16" t="s">
        <v>104</v>
      </c>
    </row>
    <row r="16" spans="1:18" x14ac:dyDescent="0.2">
      <c r="B16" s="245"/>
      <c r="C16" s="17">
        <v>7700001</v>
      </c>
      <c r="D16" s="18" t="s">
        <v>102</v>
      </c>
      <c r="E16" s="19">
        <v>10000000</v>
      </c>
      <c r="F16" s="16" t="s">
        <v>105</v>
      </c>
      <c r="H16" s="245"/>
      <c r="I16" s="17">
        <v>7700001</v>
      </c>
      <c r="J16" s="18" t="s">
        <v>106</v>
      </c>
      <c r="K16" s="19">
        <v>10000000</v>
      </c>
      <c r="L16" s="16" t="s">
        <v>107</v>
      </c>
      <c r="N16" s="245"/>
      <c r="O16" s="17">
        <v>7700001</v>
      </c>
      <c r="P16" s="18" t="s">
        <v>99</v>
      </c>
      <c r="Q16" s="19">
        <v>10000000</v>
      </c>
      <c r="R16" s="16" t="s">
        <v>108</v>
      </c>
    </row>
    <row r="17" spans="2:18" x14ac:dyDescent="0.2">
      <c r="B17" s="246"/>
      <c r="C17" s="17">
        <v>10000001</v>
      </c>
      <c r="D17" s="18" t="s">
        <v>99</v>
      </c>
      <c r="E17" s="19"/>
      <c r="F17" s="16" t="s">
        <v>109</v>
      </c>
      <c r="H17" s="246"/>
      <c r="I17" s="17">
        <v>10000001</v>
      </c>
      <c r="J17" s="18" t="s">
        <v>110</v>
      </c>
      <c r="K17" s="19"/>
      <c r="L17" s="16" t="s">
        <v>111</v>
      </c>
      <c r="N17" s="246"/>
      <c r="O17" s="17">
        <v>10000001</v>
      </c>
      <c r="P17" s="18" t="s">
        <v>112</v>
      </c>
      <c r="Q17" s="19"/>
      <c r="R17" s="16" t="s">
        <v>113</v>
      </c>
    </row>
    <row r="18" spans="2:18" x14ac:dyDescent="0.2">
      <c r="B18" s="247" t="s">
        <v>85</v>
      </c>
      <c r="C18" s="17">
        <v>1</v>
      </c>
      <c r="D18" s="18" t="s">
        <v>95</v>
      </c>
      <c r="E18" s="19">
        <v>1300000</v>
      </c>
      <c r="F18" s="16" t="s">
        <v>114</v>
      </c>
      <c r="H18" s="247" t="s">
        <v>85</v>
      </c>
      <c r="I18" s="17">
        <v>1</v>
      </c>
      <c r="J18" s="18" t="s">
        <v>115</v>
      </c>
      <c r="K18" s="19">
        <v>1300000</v>
      </c>
      <c r="L18" s="16" t="s">
        <v>116</v>
      </c>
      <c r="N18" s="247" t="s">
        <v>85</v>
      </c>
      <c r="O18" s="17">
        <v>1</v>
      </c>
      <c r="P18" s="18" t="s">
        <v>106</v>
      </c>
      <c r="Q18" s="19">
        <v>1300000</v>
      </c>
      <c r="R18" s="16" t="s">
        <v>117</v>
      </c>
    </row>
    <row r="19" spans="2:18" x14ac:dyDescent="0.2">
      <c r="B19" s="248"/>
      <c r="C19" s="17">
        <v>1300001</v>
      </c>
      <c r="D19" s="18" t="s">
        <v>106</v>
      </c>
      <c r="E19" s="19">
        <v>4100000</v>
      </c>
      <c r="F19" s="16" t="s">
        <v>118</v>
      </c>
      <c r="H19" s="248"/>
      <c r="I19" s="17">
        <v>1300001</v>
      </c>
      <c r="J19" s="18" t="s">
        <v>106</v>
      </c>
      <c r="K19" s="19">
        <v>4100000</v>
      </c>
      <c r="L19" s="16" t="s">
        <v>119</v>
      </c>
      <c r="N19" s="248"/>
      <c r="O19" s="17">
        <v>1300001</v>
      </c>
      <c r="P19" s="18" t="s">
        <v>120</v>
      </c>
      <c r="Q19" s="19">
        <v>4100000</v>
      </c>
      <c r="R19" s="16" t="s">
        <v>100</v>
      </c>
    </row>
    <row r="20" spans="2:18" x14ac:dyDescent="0.2">
      <c r="B20" s="248"/>
      <c r="C20" s="17">
        <v>4100001</v>
      </c>
      <c r="D20" s="18" t="s">
        <v>59</v>
      </c>
      <c r="E20" s="19">
        <v>7700000</v>
      </c>
      <c r="F20" s="16" t="s">
        <v>121</v>
      </c>
      <c r="H20" s="248"/>
      <c r="I20" s="17">
        <v>4100001</v>
      </c>
      <c r="J20" s="18" t="s">
        <v>59</v>
      </c>
      <c r="K20" s="19">
        <v>7700000</v>
      </c>
      <c r="L20" s="16" t="s">
        <v>122</v>
      </c>
      <c r="N20" s="248"/>
      <c r="O20" s="17">
        <v>4100001</v>
      </c>
      <c r="P20" s="18" t="s">
        <v>59</v>
      </c>
      <c r="Q20" s="19">
        <v>7700000</v>
      </c>
      <c r="R20" s="16" t="s">
        <v>104</v>
      </c>
    </row>
    <row r="21" spans="2:18" x14ac:dyDescent="0.2">
      <c r="B21" s="248"/>
      <c r="C21" s="17">
        <v>7700001</v>
      </c>
      <c r="D21" s="18" t="s">
        <v>59</v>
      </c>
      <c r="E21" s="19">
        <v>10000000</v>
      </c>
      <c r="F21" s="16" t="s">
        <v>123</v>
      </c>
      <c r="H21" s="248"/>
      <c r="I21" s="17">
        <v>7700001</v>
      </c>
      <c r="J21" s="18" t="s">
        <v>59</v>
      </c>
      <c r="K21" s="19">
        <v>10000000</v>
      </c>
      <c r="L21" s="16" t="s">
        <v>124</v>
      </c>
      <c r="N21" s="248"/>
      <c r="O21" s="17">
        <v>7700001</v>
      </c>
      <c r="P21" s="18" t="s">
        <v>59</v>
      </c>
      <c r="Q21" s="19">
        <v>10000000</v>
      </c>
      <c r="R21" s="16" t="s">
        <v>125</v>
      </c>
    </row>
    <row r="22" spans="2:18" x14ac:dyDescent="0.2">
      <c r="B22" s="249"/>
      <c r="C22" s="17">
        <v>10000001</v>
      </c>
      <c r="D22" s="18" t="s">
        <v>95</v>
      </c>
      <c r="E22" s="19"/>
      <c r="F22" s="16" t="s">
        <v>109</v>
      </c>
      <c r="H22" s="249"/>
      <c r="I22" s="17">
        <v>10000001</v>
      </c>
      <c r="J22" s="18" t="s">
        <v>95</v>
      </c>
      <c r="K22" s="19"/>
      <c r="L22" s="16" t="s">
        <v>111</v>
      </c>
      <c r="N22" s="249"/>
      <c r="O22" s="17">
        <v>10000001</v>
      </c>
      <c r="P22" s="18" t="s">
        <v>126</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t="e">
        <f>'加入者(1)'!F19+'加入者(1)'!F20-100000</f>
        <v>#N/A</v>
      </c>
      <c r="C49" t="s">
        <v>0</v>
      </c>
    </row>
    <row r="51" spans="2:9" x14ac:dyDescent="0.2">
      <c r="B51" t="s">
        <v>141</v>
      </c>
      <c r="C51" t="s">
        <v>142</v>
      </c>
      <c r="E51" t="s">
        <v>143</v>
      </c>
      <c r="F51" t="s">
        <v>144</v>
      </c>
      <c r="G51" t="s">
        <v>151</v>
      </c>
      <c r="H51" t="s">
        <v>152</v>
      </c>
    </row>
    <row r="52" spans="2:9" x14ac:dyDescent="0.2">
      <c r="B52" t="s">
        <v>138</v>
      </c>
      <c r="C52" t="s">
        <v>85</v>
      </c>
      <c r="E52" s="53">
        <f>計算シート１!J10</f>
        <v>0</v>
      </c>
      <c r="F52" s="54">
        <f>計算式あり!G19</f>
        <v>0</v>
      </c>
      <c r="G52" s="11">
        <f>E52+F52</f>
        <v>0</v>
      </c>
      <c r="H52">
        <v>10000000</v>
      </c>
      <c r="I52" t="s">
        <v>39</v>
      </c>
    </row>
    <row r="53" spans="2:9" x14ac:dyDescent="0.2">
      <c r="B53" t="s">
        <v>139</v>
      </c>
      <c r="C53" t="s">
        <v>85</v>
      </c>
      <c r="H53">
        <v>10000001</v>
      </c>
      <c r="I53" t="s">
        <v>86</v>
      </c>
    </row>
    <row r="54" spans="2:9" x14ac:dyDescent="0.2">
      <c r="B54" t="s">
        <v>140</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00"/>
  </sheetPr>
  <dimension ref="A1:G26"/>
  <sheetViews>
    <sheetView view="pageBreakPreview" topLeftCell="A10" zoomScaleNormal="100" zoomScaleSheetLayoutView="100" workbookViewId="0">
      <selection activeCell="F6" sqref="F6"/>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計算式あり!E20</f>
        <v>0</v>
      </c>
      <c r="G6" s="27" t="s">
        <v>0</v>
      </c>
    </row>
    <row r="7" spans="1:7" ht="28.5" customHeight="1" x14ac:dyDescent="0.2">
      <c r="A7" s="22"/>
      <c r="B7" s="24" t="s">
        <v>35</v>
      </c>
      <c r="C7" s="25"/>
      <c r="D7" s="25"/>
      <c r="E7" s="25"/>
      <c r="F7" s="26">
        <f>計算式あり!F20</f>
        <v>0</v>
      </c>
      <c r="G7" s="27" t="s">
        <v>0</v>
      </c>
    </row>
    <row r="8" spans="1:7" ht="28.5" customHeight="1" x14ac:dyDescent="0.2">
      <c r="A8" s="22"/>
      <c r="B8" s="28" t="s">
        <v>36</v>
      </c>
      <c r="C8" s="29"/>
      <c r="D8" s="29"/>
      <c r="E8" s="29"/>
      <c r="F8" s="235" t="e">
        <f>VLOOKUP(計算式あり!D20,計算シート22!$B$52:$C$54,2,1)</f>
        <v>#N/A</v>
      </c>
      <c r="G8" s="236"/>
    </row>
    <row r="9" spans="1:7" ht="28.5" customHeight="1" x14ac:dyDescent="0.2">
      <c r="A9" s="22"/>
      <c r="B9" s="237" t="s">
        <v>38</v>
      </c>
      <c r="C9" s="237"/>
      <c r="D9" s="237"/>
      <c r="E9" s="237"/>
      <c r="F9" s="238" t="str">
        <f>IFERROR(VLOOKUP(計算シート22!G52,計算シート22!$H$52:$I$54,2,1),"1,000万円以下")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IFERROR(計算式あり!C20, "非該当")</f>
        <v>0</v>
      </c>
      <c r="G14" s="233"/>
    </row>
    <row r="15" spans="1:7" ht="28.5" customHeight="1" x14ac:dyDescent="0.2">
      <c r="A15" s="23"/>
      <c r="B15" s="226" t="s">
        <v>41</v>
      </c>
      <c r="C15" s="227"/>
      <c r="D15" s="227"/>
      <c r="E15" s="228"/>
      <c r="F15" s="31" t="str">
        <f>計算シート12!I12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IF(計算シート12!C24&lt;=100000,計算シート12!C24,計算シート12!E24)</f>
        <v>0</v>
      </c>
      <c r="G19" s="27" t="s">
        <v>0</v>
      </c>
    </row>
    <row r="20" spans="1:7" ht="28.5" customHeight="1" thickBot="1" x14ac:dyDescent="0.25">
      <c r="A20" s="22"/>
      <c r="B20" s="24" t="s">
        <v>44</v>
      </c>
      <c r="C20" s="25"/>
      <c r="D20" s="25"/>
      <c r="E20" s="25"/>
      <c r="F20" s="33" t="e">
        <f>IF(計算シート22!C43&lt;=100000,計算シート22!C43,計算シート22!E43)</f>
        <v>#N/A</v>
      </c>
      <c r="G20" s="27" t="s">
        <v>0</v>
      </c>
    </row>
    <row r="21" spans="1:7" ht="28.5" customHeight="1" thickTop="1" x14ac:dyDescent="0.2">
      <c r="A21" s="22"/>
      <c r="B21" s="34" t="s">
        <v>45</v>
      </c>
      <c r="C21" s="35"/>
      <c r="D21" s="35"/>
      <c r="E21" s="35"/>
      <c r="F21" s="36" t="e">
        <f>IF(計算シート22!B49&gt;=0,計算シート22!B49,0)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IFERROR(計算シート12!C24-('加入者(2)'!F15+'加入者(2)'!F21), "0")</f>
        <v>0</v>
      </c>
      <c r="G24" s="32" t="s">
        <v>0</v>
      </c>
    </row>
    <row r="25" spans="1:7" ht="28.5" customHeight="1" thickBot="1" x14ac:dyDescent="0.25">
      <c r="A25" s="22"/>
      <c r="B25" s="38" t="s">
        <v>48</v>
      </c>
      <c r="C25" s="39"/>
      <c r="D25" s="39"/>
      <c r="E25" s="40"/>
      <c r="F25" s="49" t="str">
        <f>IFERROR(計算シート22!C43,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pageMargins left="0.7" right="0.48" top="0.73" bottom="0.47"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31"/>
  <sheetViews>
    <sheetView zoomScaleNormal="100" workbookViewId="0">
      <selection activeCell="E24" sqref="E24"/>
    </sheetView>
  </sheetViews>
  <sheetFormatPr defaultRowHeight="13.2" x14ac:dyDescent="0.2"/>
  <cols>
    <col min="1" max="1" width="12.109375" customWidth="1"/>
    <col min="2" max="2" width="4.88671875" customWidth="1"/>
    <col min="3" max="3" width="14.6640625" customWidth="1"/>
    <col min="4" max="4" width="12.88671875" customWidth="1"/>
    <col min="5" max="5" width="16.33203125" customWidth="1"/>
    <col min="6" max="7" width="14.6640625" customWidth="1"/>
    <col min="8" max="8" width="4.44140625" customWidth="1"/>
    <col min="9" max="9" width="25" style="10" customWidth="1"/>
    <col min="10" max="10" width="25" customWidth="1"/>
    <col min="11" max="13" width="14.6640625" customWidth="1"/>
    <col min="14" max="18" width="9" customWidth="1"/>
  </cols>
  <sheetData>
    <row r="1" spans="1:12" x14ac:dyDescent="0.2">
      <c r="A1" t="s">
        <v>50</v>
      </c>
    </row>
    <row r="3" spans="1:12" x14ac:dyDescent="0.2">
      <c r="A3" t="s">
        <v>51</v>
      </c>
      <c r="I3" s="239" t="s">
        <v>52</v>
      </c>
      <c r="J3" s="239"/>
      <c r="K3" s="239"/>
      <c r="L3" s="239"/>
    </row>
    <row r="4" spans="1:12" x14ac:dyDescent="0.2">
      <c r="I4" s="239" t="s">
        <v>53</v>
      </c>
      <c r="J4" s="239"/>
      <c r="K4" s="239"/>
      <c r="L4" s="239"/>
    </row>
    <row r="5" spans="1:12" x14ac:dyDescent="0.2">
      <c r="A5" t="s">
        <v>34</v>
      </c>
      <c r="E5" s="51">
        <f>IF('加入者(2)'!F6="","",'加入者(2)'!F6)</f>
        <v>0</v>
      </c>
      <c r="F5" t="s">
        <v>0</v>
      </c>
      <c r="I5" s="239" t="s">
        <v>54</v>
      </c>
      <c r="J5" s="239"/>
      <c r="K5" s="239"/>
      <c r="L5" s="239"/>
    </row>
    <row r="6" spans="1:12" x14ac:dyDescent="0.2">
      <c r="I6" s="239" t="s">
        <v>55</v>
      </c>
      <c r="J6" s="239"/>
      <c r="K6" s="239"/>
      <c r="L6" s="239"/>
    </row>
    <row r="7" spans="1:12" x14ac:dyDescent="0.2">
      <c r="A7" t="s">
        <v>56</v>
      </c>
      <c r="D7" t="s">
        <v>57</v>
      </c>
      <c r="I7" s="239" t="s">
        <v>58</v>
      </c>
      <c r="J7" s="239"/>
      <c r="K7" s="239"/>
      <c r="L7" s="239"/>
    </row>
    <row r="8" spans="1:12" x14ac:dyDescent="0.2">
      <c r="I8" s="10" t="s">
        <v>136</v>
      </c>
      <c r="J8" t="s">
        <v>137</v>
      </c>
    </row>
    <row r="9" spans="1:12" ht="13.5" customHeight="1" x14ac:dyDescent="0.2">
      <c r="A9">
        <v>1</v>
      </c>
      <c r="B9" t="s">
        <v>59</v>
      </c>
      <c r="C9" s="11">
        <v>650999</v>
      </c>
      <c r="D9" t="s">
        <v>60</v>
      </c>
      <c r="I9" s="10" t="s">
        <v>61</v>
      </c>
      <c r="J9" s="240" t="s">
        <v>62</v>
      </c>
      <c r="K9" s="240"/>
    </row>
    <row r="10" spans="1:12" x14ac:dyDescent="0.2">
      <c r="A10" s="11">
        <v>651000</v>
      </c>
      <c r="B10" t="s">
        <v>59</v>
      </c>
      <c r="C10" s="11">
        <v>1899999</v>
      </c>
      <c r="D10" t="s">
        <v>257</v>
      </c>
      <c r="I10" s="52" t="b">
        <f>IF('加入者(2)'!F14="該当",E5)</f>
        <v>0</v>
      </c>
      <c r="J10" s="12">
        <f>C24</f>
        <v>0</v>
      </c>
      <c r="K10" s="11"/>
    </row>
    <row r="11" spans="1:12" x14ac:dyDescent="0.2">
      <c r="A11" s="11">
        <v>1900000</v>
      </c>
      <c r="B11" t="s">
        <v>59</v>
      </c>
      <c r="C11" s="11">
        <v>3599999</v>
      </c>
      <c r="D11" t="s">
        <v>65</v>
      </c>
      <c r="I11" s="10" t="s">
        <v>63</v>
      </c>
    </row>
    <row r="12" spans="1:12" x14ac:dyDescent="0.2">
      <c r="A12" s="11">
        <v>3600000</v>
      </c>
      <c r="B12" t="s">
        <v>59</v>
      </c>
      <c r="C12" s="11">
        <v>6599999</v>
      </c>
      <c r="D12" t="s">
        <v>66</v>
      </c>
      <c r="I12" s="13" t="str">
        <f>IFERROR(VLOOKUP(I10,$J$20:$L$21,3,1), "0")</f>
        <v>0</v>
      </c>
      <c r="K12" s="11"/>
    </row>
    <row r="13" spans="1:12" x14ac:dyDescent="0.2">
      <c r="A13" s="11">
        <v>6600000</v>
      </c>
      <c r="B13" t="s">
        <v>59</v>
      </c>
      <c r="C13" s="11">
        <v>8499999</v>
      </c>
      <c r="D13" t="s">
        <v>67</v>
      </c>
      <c r="I13" s="239" t="s">
        <v>64</v>
      </c>
      <c r="J13" s="239"/>
    </row>
    <row r="14" spans="1:12" x14ac:dyDescent="0.2">
      <c r="A14" s="11">
        <v>8500000</v>
      </c>
      <c r="B14" t="s">
        <v>68</v>
      </c>
      <c r="D14" t="s">
        <v>69</v>
      </c>
      <c r="I14" s="10">
        <f>IFERROR(J10-I12, "0")</f>
        <v>0</v>
      </c>
    </row>
    <row r="15" spans="1:12" x14ac:dyDescent="0.2">
      <c r="I15" s="14"/>
      <c r="K15" s="11"/>
      <c r="L15" s="11"/>
    </row>
    <row r="16" spans="1:12" x14ac:dyDescent="0.2">
      <c r="K16" s="11"/>
      <c r="L16" s="11"/>
    </row>
    <row r="17" spans="1:12" x14ac:dyDescent="0.2">
      <c r="C17" t="s">
        <v>76</v>
      </c>
    </row>
    <row r="18" spans="1:12" x14ac:dyDescent="0.2">
      <c r="C18">
        <f>IF(E5&lt;=C9,0,0)</f>
        <v>0</v>
      </c>
    </row>
    <row r="19" spans="1:12" x14ac:dyDescent="0.2">
      <c r="C19">
        <f>IF(AND($E$5&gt;=A10,$E$5&lt;=C10),$E$5-650000,0)</f>
        <v>0</v>
      </c>
      <c r="I19" s="10" t="s">
        <v>70</v>
      </c>
      <c r="J19" t="s">
        <v>71</v>
      </c>
      <c r="K19" t="s">
        <v>72</v>
      </c>
      <c r="L19" t="s">
        <v>73</v>
      </c>
    </row>
    <row r="20" spans="1:12" x14ac:dyDescent="0.2">
      <c r="C20">
        <f>IF(AND($E$5&gt;=A11,$E$5&lt;=C11),ROUNDDOWN($E$5/4,-3)*2.8-80000,0)</f>
        <v>0</v>
      </c>
      <c r="I20" s="10" t="s">
        <v>74</v>
      </c>
      <c r="J20">
        <v>8500000</v>
      </c>
      <c r="K20" s="11" t="b">
        <f>I10</f>
        <v>0</v>
      </c>
      <c r="L20" s="11">
        <f>(K20-8500000)*0.1</f>
        <v>-850000</v>
      </c>
    </row>
    <row r="21" spans="1:12" x14ac:dyDescent="0.2">
      <c r="C21">
        <f>IF(AND($E$5&gt;=A12,$E$5&lt;=C12),ROUNDDOWN($E$5/4,-3)*3.2-440000,0)</f>
        <v>0</v>
      </c>
      <c r="I21" s="10" t="s">
        <v>75</v>
      </c>
      <c r="J21">
        <v>10000001</v>
      </c>
      <c r="K21" s="11" t="b">
        <f>I10</f>
        <v>0</v>
      </c>
      <c r="L21" s="11">
        <f>(10000000-8500000)*0.1</f>
        <v>150000</v>
      </c>
    </row>
    <row r="22" spans="1:12" x14ac:dyDescent="0.2">
      <c r="C22">
        <f>IF(AND($E$5&gt;=A13,$E$5&lt;=C13),ROUNDDOWN($E$5*0.9,0)-1100000,0)</f>
        <v>0</v>
      </c>
    </row>
    <row r="23" spans="1:12" x14ac:dyDescent="0.2">
      <c r="C23">
        <f>IF($E$5&gt;=A14,$E$5-1950000,0)</f>
        <v>0</v>
      </c>
    </row>
    <row r="24" spans="1:12" x14ac:dyDescent="0.2">
      <c r="A24" t="s">
        <v>32</v>
      </c>
      <c r="C24">
        <f>SUM(C18:C23)</f>
        <v>0</v>
      </c>
      <c r="E24">
        <v>100000</v>
      </c>
    </row>
    <row r="27" spans="1:12" x14ac:dyDescent="0.2">
      <c r="A27" t="s">
        <v>78</v>
      </c>
    </row>
    <row r="28" spans="1:12" x14ac:dyDescent="0.2">
      <c r="A28" t="s">
        <v>79</v>
      </c>
      <c r="F28" t="s">
        <v>77</v>
      </c>
    </row>
    <row r="29" spans="1:12" x14ac:dyDescent="0.2">
      <c r="A29" t="s">
        <v>54</v>
      </c>
    </row>
    <row r="30" spans="1:12" x14ac:dyDescent="0.2">
      <c r="A30" t="s">
        <v>55</v>
      </c>
    </row>
    <row r="31" spans="1:12" x14ac:dyDescent="0.2">
      <c r="A31" t="s">
        <v>58</v>
      </c>
    </row>
  </sheetData>
  <mergeCells count="7">
    <mergeCell ref="I13:J13"/>
    <mergeCell ref="I3:L3"/>
    <mergeCell ref="I4:L4"/>
    <mergeCell ref="I5:L5"/>
    <mergeCell ref="I6:L6"/>
    <mergeCell ref="I7:L7"/>
    <mergeCell ref="J9:K9"/>
  </mergeCells>
  <phoneticPr fontId="2"/>
  <pageMargins left="0.7" right="0.7" top="0.75" bottom="0.75" header="0.3" footer="0.3"/>
  <pageSetup paperSize="9" scale="5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R54"/>
  <sheetViews>
    <sheetView topLeftCell="A7" zoomScaleNormal="100" workbookViewId="0">
      <selection activeCell="H4" sqref="H4:M4"/>
    </sheetView>
  </sheetViews>
  <sheetFormatPr defaultRowHeight="13.2" x14ac:dyDescent="0.2"/>
  <cols>
    <col min="1" max="1" width="4" customWidth="1"/>
    <col min="2" max="2" width="13.21875" customWidth="1"/>
    <col min="3" max="3" width="13" customWidth="1"/>
    <col min="4" max="4" width="3.88671875" customWidth="1"/>
    <col min="5" max="5" width="12.109375" customWidth="1"/>
    <col min="6" max="6" width="25.44140625" customWidth="1"/>
    <col min="7" max="7" width="10.88671875" customWidth="1"/>
    <col min="8" max="8" width="14.44140625" customWidth="1"/>
    <col min="9" max="9" width="10.88671875" customWidth="1"/>
    <col min="10" max="10" width="9" customWidth="1"/>
    <col min="11" max="11" width="10.77734375" customWidth="1"/>
    <col min="12" max="12" width="25.109375" customWidth="1"/>
    <col min="13" max="14" width="9" customWidth="1"/>
    <col min="15" max="15" width="11.109375" customWidth="1"/>
    <col min="16" max="16" width="9" customWidth="1"/>
    <col min="17" max="17" width="11.109375" customWidth="1"/>
    <col min="18" max="18" width="24.77734375" customWidth="1"/>
  </cols>
  <sheetData>
    <row r="1" spans="1:18" x14ac:dyDescent="0.2">
      <c r="A1" t="s">
        <v>80</v>
      </c>
    </row>
    <row r="3" spans="1:18" x14ac:dyDescent="0.2">
      <c r="A3" t="s">
        <v>81</v>
      </c>
    </row>
    <row r="5" spans="1:18" x14ac:dyDescent="0.2">
      <c r="B5" t="s">
        <v>82</v>
      </c>
      <c r="F5" s="51">
        <f>'加入者(2)'!F7</f>
        <v>0</v>
      </c>
      <c r="G5" t="s">
        <v>0</v>
      </c>
    </row>
    <row r="6" spans="1:18" x14ac:dyDescent="0.2">
      <c r="B6" t="s">
        <v>83</v>
      </c>
      <c r="F6" s="55" t="e">
        <f>'加入者(2)'!F8</f>
        <v>#N/A</v>
      </c>
      <c r="H6" t="s">
        <v>37</v>
      </c>
      <c r="J6" t="s">
        <v>39</v>
      </c>
    </row>
    <row r="7" spans="1:18" x14ac:dyDescent="0.2">
      <c r="B7" t="s">
        <v>84</v>
      </c>
      <c r="F7" s="55" t="str">
        <f>'加入者(2)'!F9</f>
        <v>1,000万円以下</v>
      </c>
      <c r="H7" t="s">
        <v>85</v>
      </c>
      <c r="J7" t="s">
        <v>86</v>
      </c>
    </row>
    <row r="8" spans="1:18" x14ac:dyDescent="0.2">
      <c r="J8" t="s">
        <v>87</v>
      </c>
    </row>
    <row r="10" spans="1:18" x14ac:dyDescent="0.2">
      <c r="B10" t="s">
        <v>88</v>
      </c>
    </row>
    <row r="11" spans="1:18" x14ac:dyDescent="0.2">
      <c r="B11" t="str">
        <f>J6</f>
        <v>1,000万円以下</v>
      </c>
      <c r="H11" t="str">
        <f>J7</f>
        <v>1,000万円超2,000万円以下</v>
      </c>
      <c r="N11" t="str">
        <f>J8</f>
        <v>2,000万円超</v>
      </c>
    </row>
    <row r="12" spans="1:18" ht="29.25" customHeight="1" x14ac:dyDescent="0.2">
      <c r="B12" s="16" t="s">
        <v>89</v>
      </c>
      <c r="C12" s="241" t="s">
        <v>90</v>
      </c>
      <c r="D12" s="242"/>
      <c r="E12" s="243"/>
      <c r="F12" s="16" t="s">
        <v>91</v>
      </c>
      <c r="H12" s="16" t="s">
        <v>89</v>
      </c>
      <c r="I12" s="241" t="s">
        <v>90</v>
      </c>
      <c r="J12" s="242"/>
      <c r="K12" s="243"/>
      <c r="L12" s="16" t="s">
        <v>91</v>
      </c>
      <c r="N12" s="16" t="s">
        <v>89</v>
      </c>
      <c r="O12" s="241" t="s">
        <v>90</v>
      </c>
      <c r="P12" s="242"/>
      <c r="Q12" s="243"/>
      <c r="R12" s="16" t="s">
        <v>91</v>
      </c>
    </row>
    <row r="13" spans="1:18" x14ac:dyDescent="0.2">
      <c r="B13" s="244" t="s">
        <v>37</v>
      </c>
      <c r="C13" s="17">
        <v>1</v>
      </c>
      <c r="D13" s="18" t="s">
        <v>68</v>
      </c>
      <c r="E13" s="19">
        <v>3300000</v>
      </c>
      <c r="F13" s="16" t="s">
        <v>92</v>
      </c>
      <c r="H13" s="244" t="s">
        <v>37</v>
      </c>
      <c r="I13" s="17">
        <v>1</v>
      </c>
      <c r="J13" s="18" t="s">
        <v>68</v>
      </c>
      <c r="K13" s="19">
        <v>3300000</v>
      </c>
      <c r="L13" s="16" t="s">
        <v>93</v>
      </c>
      <c r="N13" s="244" t="s">
        <v>37</v>
      </c>
      <c r="O13" s="17">
        <v>1</v>
      </c>
      <c r="P13" s="18" t="s">
        <v>68</v>
      </c>
      <c r="Q13" s="19">
        <v>3300000</v>
      </c>
      <c r="R13" s="16" t="s">
        <v>94</v>
      </c>
    </row>
    <row r="14" spans="1:18" x14ac:dyDescent="0.2">
      <c r="B14" s="245"/>
      <c r="C14" s="17">
        <v>3300001</v>
      </c>
      <c r="D14" s="18" t="s">
        <v>68</v>
      </c>
      <c r="E14" s="19">
        <v>4100000</v>
      </c>
      <c r="F14" s="16" t="s">
        <v>96</v>
      </c>
      <c r="H14" s="245"/>
      <c r="I14" s="17">
        <v>3300001</v>
      </c>
      <c r="J14" s="18" t="s">
        <v>68</v>
      </c>
      <c r="K14" s="19">
        <v>4100000</v>
      </c>
      <c r="L14" s="16" t="s">
        <v>98</v>
      </c>
      <c r="N14" s="245"/>
      <c r="O14" s="17">
        <v>3300001</v>
      </c>
      <c r="P14" s="18" t="s">
        <v>68</v>
      </c>
      <c r="Q14" s="19">
        <v>4100000</v>
      </c>
      <c r="R14" s="16" t="s">
        <v>100</v>
      </c>
    </row>
    <row r="15" spans="1:18" x14ac:dyDescent="0.2">
      <c r="B15" s="245"/>
      <c r="C15" s="17">
        <v>4100001</v>
      </c>
      <c r="D15" s="18" t="s">
        <v>68</v>
      </c>
      <c r="E15" s="19">
        <v>7700000</v>
      </c>
      <c r="F15" s="16" t="s">
        <v>101</v>
      </c>
      <c r="H15" s="245"/>
      <c r="I15" s="17">
        <v>4100001</v>
      </c>
      <c r="J15" s="18" t="s">
        <v>68</v>
      </c>
      <c r="K15" s="19">
        <v>7700000</v>
      </c>
      <c r="L15" s="16" t="s">
        <v>103</v>
      </c>
      <c r="N15" s="245"/>
      <c r="O15" s="17">
        <v>4100001</v>
      </c>
      <c r="P15" s="18" t="s">
        <v>68</v>
      </c>
      <c r="Q15" s="19">
        <v>7700000</v>
      </c>
      <c r="R15" s="16" t="s">
        <v>104</v>
      </c>
    </row>
    <row r="16" spans="1:18" x14ac:dyDescent="0.2">
      <c r="B16" s="245"/>
      <c r="C16" s="17">
        <v>7700001</v>
      </c>
      <c r="D16" s="18" t="s">
        <v>68</v>
      </c>
      <c r="E16" s="19">
        <v>10000000</v>
      </c>
      <c r="F16" s="16" t="s">
        <v>105</v>
      </c>
      <c r="H16" s="245"/>
      <c r="I16" s="17">
        <v>7700001</v>
      </c>
      <c r="J16" s="18" t="s">
        <v>68</v>
      </c>
      <c r="K16" s="19">
        <v>10000000</v>
      </c>
      <c r="L16" s="16" t="s">
        <v>107</v>
      </c>
      <c r="N16" s="245"/>
      <c r="O16" s="17">
        <v>7700001</v>
      </c>
      <c r="P16" s="18" t="s">
        <v>68</v>
      </c>
      <c r="Q16" s="19">
        <v>10000000</v>
      </c>
      <c r="R16" s="16" t="s">
        <v>108</v>
      </c>
    </row>
    <row r="17" spans="2:18" x14ac:dyDescent="0.2">
      <c r="B17" s="246"/>
      <c r="C17" s="17">
        <v>10000001</v>
      </c>
      <c r="D17" s="18" t="s">
        <v>68</v>
      </c>
      <c r="E17" s="19"/>
      <c r="F17" s="16" t="s">
        <v>109</v>
      </c>
      <c r="H17" s="246"/>
      <c r="I17" s="17">
        <v>10000001</v>
      </c>
      <c r="J17" s="18" t="s">
        <v>68</v>
      </c>
      <c r="K17" s="19"/>
      <c r="L17" s="16" t="s">
        <v>111</v>
      </c>
      <c r="N17" s="246"/>
      <c r="O17" s="17">
        <v>10000001</v>
      </c>
      <c r="P17" s="18" t="s">
        <v>68</v>
      </c>
      <c r="Q17" s="19"/>
      <c r="R17" s="16" t="s">
        <v>113</v>
      </c>
    </row>
    <row r="18" spans="2:18" x14ac:dyDescent="0.2">
      <c r="B18" s="247" t="s">
        <v>85</v>
      </c>
      <c r="C18" s="17">
        <v>1</v>
      </c>
      <c r="D18" s="18" t="s">
        <v>68</v>
      </c>
      <c r="E18" s="19">
        <v>1300000</v>
      </c>
      <c r="F18" s="16" t="s">
        <v>114</v>
      </c>
      <c r="H18" s="247" t="s">
        <v>85</v>
      </c>
      <c r="I18" s="17">
        <v>1</v>
      </c>
      <c r="J18" s="18" t="s">
        <v>68</v>
      </c>
      <c r="K18" s="19">
        <v>1300000</v>
      </c>
      <c r="L18" s="16" t="s">
        <v>116</v>
      </c>
      <c r="N18" s="247" t="s">
        <v>85</v>
      </c>
      <c r="O18" s="17">
        <v>1</v>
      </c>
      <c r="P18" s="18" t="s">
        <v>68</v>
      </c>
      <c r="Q18" s="19">
        <v>1300000</v>
      </c>
      <c r="R18" s="16" t="s">
        <v>117</v>
      </c>
    </row>
    <row r="19" spans="2:18" x14ac:dyDescent="0.2">
      <c r="B19" s="248"/>
      <c r="C19" s="17">
        <v>1300001</v>
      </c>
      <c r="D19" s="18" t="s">
        <v>68</v>
      </c>
      <c r="E19" s="19">
        <v>4100000</v>
      </c>
      <c r="F19" s="16" t="s">
        <v>96</v>
      </c>
      <c r="H19" s="248"/>
      <c r="I19" s="17">
        <v>1300001</v>
      </c>
      <c r="J19" s="18" t="s">
        <v>68</v>
      </c>
      <c r="K19" s="19">
        <v>4100000</v>
      </c>
      <c r="L19" s="16" t="s">
        <v>98</v>
      </c>
      <c r="N19" s="248"/>
      <c r="O19" s="17">
        <v>1300001</v>
      </c>
      <c r="P19" s="18" t="s">
        <v>68</v>
      </c>
      <c r="Q19" s="19">
        <v>4100000</v>
      </c>
      <c r="R19" s="16" t="s">
        <v>100</v>
      </c>
    </row>
    <row r="20" spans="2:18" x14ac:dyDescent="0.2">
      <c r="B20" s="248"/>
      <c r="C20" s="17">
        <v>4100001</v>
      </c>
      <c r="D20" s="18" t="s">
        <v>59</v>
      </c>
      <c r="E20" s="19">
        <v>7700000</v>
      </c>
      <c r="F20" s="16" t="s">
        <v>101</v>
      </c>
      <c r="H20" s="248"/>
      <c r="I20" s="17">
        <v>4100001</v>
      </c>
      <c r="J20" s="18" t="s">
        <v>59</v>
      </c>
      <c r="K20" s="19">
        <v>7700000</v>
      </c>
      <c r="L20" s="16" t="s">
        <v>103</v>
      </c>
      <c r="N20" s="248"/>
      <c r="O20" s="17">
        <v>4100001</v>
      </c>
      <c r="P20" s="18" t="s">
        <v>59</v>
      </c>
      <c r="Q20" s="19">
        <v>7700000</v>
      </c>
      <c r="R20" s="16" t="s">
        <v>104</v>
      </c>
    </row>
    <row r="21" spans="2:18" x14ac:dyDescent="0.2">
      <c r="B21" s="248"/>
      <c r="C21" s="17">
        <v>7700001</v>
      </c>
      <c r="D21" s="18" t="s">
        <v>59</v>
      </c>
      <c r="E21" s="19">
        <v>10000000</v>
      </c>
      <c r="F21" s="16" t="s">
        <v>105</v>
      </c>
      <c r="H21" s="248"/>
      <c r="I21" s="17">
        <v>7700001</v>
      </c>
      <c r="J21" s="18" t="s">
        <v>59</v>
      </c>
      <c r="K21" s="19">
        <v>10000000</v>
      </c>
      <c r="L21" s="16" t="s">
        <v>107</v>
      </c>
      <c r="N21" s="248"/>
      <c r="O21" s="17">
        <v>7700001</v>
      </c>
      <c r="P21" s="18" t="s">
        <v>59</v>
      </c>
      <c r="Q21" s="19">
        <v>10000000</v>
      </c>
      <c r="R21" s="16" t="s">
        <v>108</v>
      </c>
    </row>
    <row r="22" spans="2:18" x14ac:dyDescent="0.2">
      <c r="B22" s="249"/>
      <c r="C22" s="17">
        <v>10000001</v>
      </c>
      <c r="D22" s="18" t="s">
        <v>68</v>
      </c>
      <c r="E22" s="19"/>
      <c r="F22" s="16" t="s">
        <v>109</v>
      </c>
      <c r="H22" s="249"/>
      <c r="I22" s="17">
        <v>10000001</v>
      </c>
      <c r="J22" s="18" t="s">
        <v>68</v>
      </c>
      <c r="K22" s="19"/>
      <c r="L22" s="16" t="s">
        <v>111</v>
      </c>
      <c r="N22" s="249"/>
      <c r="O22" s="17">
        <v>10000001</v>
      </c>
      <c r="P22" s="18" t="s">
        <v>68</v>
      </c>
      <c r="Q22" s="19"/>
      <c r="R22" s="16" t="s">
        <v>113</v>
      </c>
    </row>
    <row r="24" spans="2:18" x14ac:dyDescent="0.2">
      <c r="B24" t="s">
        <v>127</v>
      </c>
    </row>
    <row r="25" spans="2:18" x14ac:dyDescent="0.2">
      <c r="B25" t="s">
        <v>128</v>
      </c>
    </row>
    <row r="26" spans="2:18" x14ac:dyDescent="0.2">
      <c r="B26" t="s">
        <v>129</v>
      </c>
    </row>
    <row r="28" spans="2:18" x14ac:dyDescent="0.2">
      <c r="B28" t="s">
        <v>130</v>
      </c>
    </row>
    <row r="30" spans="2:18" x14ac:dyDescent="0.2">
      <c r="C30" t="str">
        <f>J6</f>
        <v>1,000万円以下</v>
      </c>
      <c r="F30" t="str">
        <f>J7</f>
        <v>1,000万円超2,000万円以下</v>
      </c>
      <c r="H30" t="str">
        <f>J8</f>
        <v>2,000万円超</v>
      </c>
    </row>
    <row r="31" spans="2:18" x14ac:dyDescent="0.2">
      <c r="B31" t="s">
        <v>37</v>
      </c>
      <c r="C31" t="e">
        <f>IF(AND($F$6=$H$6,$F$7=$J$6,$F$5&gt;=C13,$F$5&lt;=E13),1100000,0)</f>
        <v>#N/A</v>
      </c>
      <c r="F31" t="e">
        <f>IF(AND($F$6=$H$6,$F$7=$J$7,$F$5&gt;=I13,$F$5&lt;=K13),1000000,0)</f>
        <v>#N/A</v>
      </c>
      <c r="H31" t="e">
        <f>IF(AND($F$6=$H$6,$F$7=$J$8,$F$5&gt;=O13,$F$5&lt;=Q13),900000,0)</f>
        <v>#N/A</v>
      </c>
    </row>
    <row r="32" spans="2:18" x14ac:dyDescent="0.2">
      <c r="C32" t="e">
        <f>IF(AND($F$6=$H$6,$F$7=$J$6,$F$5&gt;=C14,$F$5&lt;=E14),ROUNDUP($F$5*0.25+275000,0),0)</f>
        <v>#N/A</v>
      </c>
      <c r="F32" t="e">
        <f>IF(AND($F$6=$H$6,$F$7=$J$7,$F$5&gt;=I14,$F$5&lt;=K14),ROUNDUP($F$5*0.25+175000,0),0)</f>
        <v>#N/A</v>
      </c>
      <c r="H32" t="e">
        <f>IF(AND($F$6=$H$6,$F$7=$J$8,$F$5&gt;=O14,$F$5&lt;=Q14),ROUNDUP($F$5*0.25+75000,0),0)</f>
        <v>#N/A</v>
      </c>
    </row>
    <row r="33" spans="1:10" x14ac:dyDescent="0.2">
      <c r="C33" t="e">
        <f>IF(AND($F$6=$H$6,$F$7=$J$6,$F$5&gt;=C15,$F$5&lt;=E15),ROUNDUP($F$5*0.15+685000,0),0)</f>
        <v>#N/A</v>
      </c>
      <c r="F33" t="e">
        <f>IF(AND($F$6=$H$6,$F$7=$J$7,$F$5&gt;=I15,$F$5&lt;=K15),ROUNDUP($F$5*0.15+585000,0),0)</f>
        <v>#N/A</v>
      </c>
      <c r="H33" t="e">
        <f>IF(AND($F$6=$H$6,$F$7=$J$8,$F$5&gt;=O15,$F$5&lt;=Q15),ROUNDUP($F$5*0.15+485000,0),0)</f>
        <v>#N/A</v>
      </c>
    </row>
    <row r="34" spans="1:10" x14ac:dyDescent="0.2">
      <c r="C34" t="e">
        <f>IF(AND($F$6=$H$6,$F$7=$J$6,$F$5&gt;=C16,$F$5&lt;=E16),ROUNDUP($F$5*0.05+1455000,0),0)</f>
        <v>#N/A</v>
      </c>
      <c r="F34" t="e">
        <f>IF(AND($F$6=$H$6,$F$7=$J$7,$F$5&gt;=I16,$F$5&lt;=K16),ROUNDUP($F$5*0.05+1355000,0),0)</f>
        <v>#N/A</v>
      </c>
      <c r="H34" t="e">
        <f>IF(AND($F$6=$H$6,$F$7=$J$8,$F$5&gt;=O16,$F$5&lt;=Q16),ROUNDUP($F$5*0.05+1255000,0),0)</f>
        <v>#N/A</v>
      </c>
    </row>
    <row r="35" spans="1:10" x14ac:dyDescent="0.2">
      <c r="C35" t="e">
        <f>IF(AND($F$6=$H$6,$F$7=$J$6,$F$5&gt;=C17),1955000,0)</f>
        <v>#N/A</v>
      </c>
      <c r="F35" t="e">
        <f>IF(AND($F$6=$H$6,$F$7=$J$7,$F$5&gt;=I17),1855000,0)</f>
        <v>#N/A</v>
      </c>
      <c r="H35" t="e">
        <f>IF(AND($F$6=$H$6,$F$7=$J$8,$F$5&gt;=O17),1755000,0)</f>
        <v>#N/A</v>
      </c>
    </row>
    <row r="36" spans="1:10" x14ac:dyDescent="0.2">
      <c r="B36" t="s">
        <v>85</v>
      </c>
      <c r="C36" t="e">
        <f>IF(AND($F$6=$H$7,$F$7=$J$6,$F$5&gt;=C18,$F$5&lt;=E18),600000,0)</f>
        <v>#N/A</v>
      </c>
      <c r="F36" t="e">
        <f>IF(AND($F$6=$H$7,$F$7=$J$7,$F$5&gt;=I18,$F$5&lt;=K18),500000,0)</f>
        <v>#N/A</v>
      </c>
      <c r="H36" t="e">
        <f>IF(AND($F$6=$H$7,$F$7=$J$8,$F$5&gt;=O18,$F$5&lt;=Q18),400000,0)</f>
        <v>#N/A</v>
      </c>
    </row>
    <row r="37" spans="1:10" x14ac:dyDescent="0.2">
      <c r="C37" t="e">
        <f>IF(AND($F$6=$H$7,$F$7=$J$6,$F$5&gt;=C19,$F$5&lt;=E19),ROUNDUP($F$5*0.25+275000,0),0)</f>
        <v>#N/A</v>
      </c>
      <c r="F37" t="e">
        <f>IF(AND($F$6=$H$7,$F$7=$J$7,$F$5&gt;=I19,$F$5&lt;=K19),ROUNDUP($F$5*0.25+175000,0),0)</f>
        <v>#N/A</v>
      </c>
      <c r="H37" t="e">
        <f>IF(AND($F$6=$H$7,$F$7=$J$8,$F$5&gt;=O19,$F$5&lt;=Q19),ROUNDUP($F$5*0.25+75000,0),0)</f>
        <v>#N/A</v>
      </c>
    </row>
    <row r="38" spans="1:10" x14ac:dyDescent="0.2">
      <c r="C38" t="e">
        <f>IF(AND($F$6=$H$7,$F$7=$J$6,$F$5&gt;=C20,$F$5&lt;=E20),ROUNDUP($F$5*0.15+685000,0),0)</f>
        <v>#N/A</v>
      </c>
      <c r="F38" t="e">
        <f>IF(AND($F$6=$H$7,$F$7=$J$7,$F$5&gt;=I20,$F$5&lt;=K20),ROUNDUP($F$5*0.15+585000,0),0)</f>
        <v>#N/A</v>
      </c>
      <c r="H38" t="e">
        <f>IF(AND($F$6=$H$7,$F$7=$J$8,$F$5&gt;=O20,$F$5&lt;=Q20),ROUNDUP($F$5*0.15+485000,0),0)</f>
        <v>#N/A</v>
      </c>
    </row>
    <row r="39" spans="1:10" x14ac:dyDescent="0.2">
      <c r="C39" t="e">
        <f>IF(AND($F$6=$H$7,$F$7=$J$6,$F$5&gt;=C21,$F$5&lt;=E21),ROUNDUP($F$5*0.05+1455000,0),0)</f>
        <v>#N/A</v>
      </c>
      <c r="F39" t="e">
        <f>IF(AND($F$6=$H$7,$F$7=$J$7,$F$5&gt;=I21,$F$5&lt;=K21),ROUNDUP($F$5*0.05+1355000,0),0)</f>
        <v>#N/A</v>
      </c>
      <c r="H39" t="e">
        <f>IF(AND($F$6=$H$7,$F$7=$J$8,$F$5&gt;=O21,$F$5&lt;=Q21),ROUNDUP($F$5*0.05+1255000,0),0)</f>
        <v>#N/A</v>
      </c>
    </row>
    <row r="40" spans="1:10" x14ac:dyDescent="0.2">
      <c r="C40" t="e">
        <f>IF(AND($F$6=$H$7,$F$7=$J$6,$F$5&gt;=C22),1955000,0)</f>
        <v>#N/A</v>
      </c>
      <c r="F40" t="e">
        <f>IF(AND($F$6=$H$7,$F$7=$J$7,$F$5&gt;=I22),1855000,0)</f>
        <v>#N/A</v>
      </c>
      <c r="H40" t="e">
        <f>IF(AND($F$6=$H$7,$F$7=$J$8,$F$5&gt;=O22),1755000,0)</f>
        <v>#N/A</v>
      </c>
    </row>
    <row r="42" spans="1:10" x14ac:dyDescent="0.2">
      <c r="B42" t="s">
        <v>131</v>
      </c>
      <c r="C42" t="e">
        <f>SUM(C31:C41)</f>
        <v>#N/A</v>
      </c>
      <c r="F42" t="e">
        <f>SUM(F31:F41)</f>
        <v>#N/A</v>
      </c>
      <c r="H42" t="e">
        <f>SUM(H31:H41)</f>
        <v>#N/A</v>
      </c>
      <c r="J42" t="e">
        <f>SUM(C42:H42)</f>
        <v>#N/A</v>
      </c>
    </row>
    <row r="43" spans="1:10" ht="39.6" x14ac:dyDescent="0.2">
      <c r="B43" s="20" t="s">
        <v>132</v>
      </c>
      <c r="C43" t="e">
        <f>MAX($F$5-J42,0)</f>
        <v>#N/A</v>
      </c>
      <c r="E43">
        <v>100000</v>
      </c>
      <c r="F43" t="s">
        <v>77</v>
      </c>
    </row>
    <row r="47" spans="1:10" x14ac:dyDescent="0.2">
      <c r="A47" t="s">
        <v>133</v>
      </c>
    </row>
    <row r="49" spans="2:9" x14ac:dyDescent="0.2">
      <c r="B49" s="51" t="e">
        <f>'加入者(2)'!F19+'加入者(2)'!F20-100000</f>
        <v>#N/A</v>
      </c>
      <c r="C49" t="s">
        <v>0</v>
      </c>
    </row>
    <row r="51" spans="2:9" x14ac:dyDescent="0.2">
      <c r="B51" t="s">
        <v>141</v>
      </c>
      <c r="C51" t="s">
        <v>142</v>
      </c>
      <c r="E51" t="s">
        <v>134</v>
      </c>
      <c r="F51" t="s">
        <v>4</v>
      </c>
      <c r="G51" t="s">
        <v>151</v>
      </c>
      <c r="H51" t="s">
        <v>152</v>
      </c>
    </row>
    <row r="52" spans="2:9" x14ac:dyDescent="0.2">
      <c r="B52" t="s">
        <v>26</v>
      </c>
      <c r="C52" t="s">
        <v>85</v>
      </c>
      <c r="E52" s="53">
        <f>計算シート12!J10</f>
        <v>0</v>
      </c>
      <c r="F52" s="54">
        <f>計算式あり!G20</f>
        <v>0</v>
      </c>
      <c r="G52" s="11">
        <f>E52+F52</f>
        <v>0</v>
      </c>
      <c r="H52">
        <v>10000000</v>
      </c>
      <c r="I52" t="s">
        <v>39</v>
      </c>
    </row>
    <row r="53" spans="2:9" x14ac:dyDescent="0.2">
      <c r="B53" t="s">
        <v>139</v>
      </c>
      <c r="C53" t="s">
        <v>85</v>
      </c>
      <c r="H53">
        <v>10000001</v>
      </c>
      <c r="I53" t="s">
        <v>86</v>
      </c>
    </row>
    <row r="54" spans="2:9" x14ac:dyDescent="0.2">
      <c r="B54" t="s">
        <v>25</v>
      </c>
      <c r="C54" t="s">
        <v>37</v>
      </c>
      <c r="H54">
        <v>20000001</v>
      </c>
      <c r="I54" t="s">
        <v>87</v>
      </c>
    </row>
  </sheetData>
  <mergeCells count="9">
    <mergeCell ref="O12:Q12"/>
    <mergeCell ref="B13:B17"/>
    <mergeCell ref="H13:H17"/>
    <mergeCell ref="N13:N17"/>
    <mergeCell ref="B18:B22"/>
    <mergeCell ref="H18:H22"/>
    <mergeCell ref="N18:N22"/>
    <mergeCell ref="C12:E12"/>
    <mergeCell ref="I12:K12"/>
  </mergeCells>
  <phoneticPr fontId="2"/>
  <pageMargins left="0.7" right="0.7" top="0.75" bottom="0.75" header="0.3" footer="0.3"/>
  <pageSetup paperSize="9"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G26"/>
  <sheetViews>
    <sheetView view="pageBreakPreview" topLeftCell="A10" zoomScaleNormal="100" zoomScaleSheetLayoutView="100" workbookViewId="0">
      <selection activeCell="F6" sqref="F6"/>
    </sheetView>
  </sheetViews>
  <sheetFormatPr defaultRowHeight="13.2" x14ac:dyDescent="0.2"/>
  <cols>
    <col min="1" max="1" width="3.6640625" customWidth="1"/>
    <col min="3" max="3" width="11.88671875" customWidth="1"/>
    <col min="4" max="4" width="11.33203125" customWidth="1"/>
    <col min="5" max="5" width="14.88671875" customWidth="1"/>
    <col min="6" max="6" width="31.109375" customWidth="1"/>
    <col min="7" max="7" width="7.109375" customWidth="1"/>
  </cols>
  <sheetData>
    <row r="1" spans="1:7" ht="29.25" customHeight="1" x14ac:dyDescent="0.2">
      <c r="A1" s="21" t="s">
        <v>33</v>
      </c>
      <c r="B1" s="22"/>
      <c r="C1" s="22"/>
      <c r="D1" s="22"/>
      <c r="E1" s="22"/>
      <c r="F1" s="22"/>
      <c r="G1" s="22"/>
    </row>
    <row r="2" spans="1:7" ht="4.5" customHeight="1" x14ac:dyDescent="0.2">
      <c r="A2" s="21"/>
      <c r="B2" s="22"/>
      <c r="C2" s="22"/>
      <c r="D2" s="22"/>
      <c r="E2" s="22"/>
      <c r="F2" s="22"/>
      <c r="G2" s="22"/>
    </row>
    <row r="3" spans="1:7" ht="21" customHeight="1" x14ac:dyDescent="0.2">
      <c r="A3" s="22"/>
      <c r="B3" s="22" t="s">
        <v>147</v>
      </c>
      <c r="C3" s="22"/>
      <c r="D3" s="22"/>
      <c r="E3" s="234" t="s">
        <v>148</v>
      </c>
      <c r="F3" s="234"/>
      <c r="G3" s="22"/>
    </row>
    <row r="4" spans="1:7" ht="21" customHeight="1" x14ac:dyDescent="0.2">
      <c r="A4" s="22"/>
      <c r="B4" s="22" t="s">
        <v>146</v>
      </c>
      <c r="C4" s="22"/>
      <c r="D4" s="22"/>
      <c r="E4" s="22"/>
      <c r="F4" s="22"/>
      <c r="G4" s="22"/>
    </row>
    <row r="5" spans="1:7" ht="20.100000000000001" customHeight="1" x14ac:dyDescent="0.2">
      <c r="A5" s="23" t="s">
        <v>150</v>
      </c>
      <c r="B5" s="22"/>
      <c r="C5" s="22"/>
      <c r="D5" s="22"/>
      <c r="E5" s="22"/>
      <c r="F5" s="22"/>
      <c r="G5" s="22"/>
    </row>
    <row r="6" spans="1:7" ht="28.5" customHeight="1" x14ac:dyDescent="0.2">
      <c r="A6" s="22"/>
      <c r="B6" s="24" t="s">
        <v>34</v>
      </c>
      <c r="C6" s="25"/>
      <c r="D6" s="25"/>
      <c r="E6" s="25"/>
      <c r="F6" s="26">
        <f>計算式あり!E21</f>
        <v>0</v>
      </c>
      <c r="G6" s="27" t="s">
        <v>0</v>
      </c>
    </row>
    <row r="7" spans="1:7" ht="28.5" customHeight="1" x14ac:dyDescent="0.2">
      <c r="A7" s="22"/>
      <c r="B7" s="24" t="s">
        <v>35</v>
      </c>
      <c r="C7" s="25"/>
      <c r="D7" s="25"/>
      <c r="E7" s="25"/>
      <c r="F7" s="26">
        <f>計算式あり!F21</f>
        <v>0</v>
      </c>
      <c r="G7" s="27" t="s">
        <v>0</v>
      </c>
    </row>
    <row r="8" spans="1:7" ht="28.5" customHeight="1" x14ac:dyDescent="0.2">
      <c r="A8" s="22"/>
      <c r="B8" s="28" t="s">
        <v>36</v>
      </c>
      <c r="C8" s="29"/>
      <c r="D8" s="29"/>
      <c r="E8" s="29"/>
      <c r="F8" s="235" t="e">
        <f>VLOOKUP(計算式あり!D21,計算シート23!$B$52:$C$54,2,1)</f>
        <v>#N/A</v>
      </c>
      <c r="G8" s="236"/>
    </row>
    <row r="9" spans="1:7" ht="28.5" customHeight="1" x14ac:dyDescent="0.2">
      <c r="A9" s="22"/>
      <c r="B9" s="237" t="s">
        <v>38</v>
      </c>
      <c r="C9" s="237"/>
      <c r="D9" s="237"/>
      <c r="E9" s="237"/>
      <c r="F9" s="238" t="str">
        <f>IFERROR(VLOOKUP(計算シート23!G52,計算シート23!$H$52:$I$54,2,1),"1,000万円以下")</f>
        <v>1,000万円以下</v>
      </c>
      <c r="G9" s="238"/>
    </row>
    <row r="10" spans="1:7" ht="4.5" customHeight="1" x14ac:dyDescent="0.2">
      <c r="A10" s="22"/>
      <c r="B10" s="22"/>
      <c r="C10" s="22"/>
      <c r="D10" s="22"/>
      <c r="E10" s="22"/>
      <c r="F10" s="22"/>
      <c r="G10" s="22"/>
    </row>
    <row r="11" spans="1:7" ht="20.100000000000001" customHeight="1" x14ac:dyDescent="0.2">
      <c r="A11" s="23"/>
      <c r="B11" s="30" t="s">
        <v>40</v>
      </c>
      <c r="C11" s="22"/>
      <c r="D11" s="22"/>
      <c r="E11" s="22"/>
      <c r="F11" s="22"/>
      <c r="G11" s="22"/>
    </row>
    <row r="12" spans="1:7" ht="20.100000000000001" customHeight="1" x14ac:dyDescent="0.2">
      <c r="A12" s="23"/>
      <c r="B12" s="30"/>
      <c r="C12" s="22"/>
      <c r="D12" s="22"/>
      <c r="E12" s="22"/>
      <c r="F12" s="22"/>
      <c r="G12" s="22"/>
    </row>
    <row r="13" spans="1:7" ht="20.100000000000001" customHeight="1" x14ac:dyDescent="0.2">
      <c r="A13" s="23" t="s">
        <v>149</v>
      </c>
      <c r="B13" s="30"/>
      <c r="C13" s="22"/>
      <c r="D13" s="22"/>
      <c r="E13" s="22"/>
      <c r="F13" s="22"/>
      <c r="G13" s="22"/>
    </row>
    <row r="14" spans="1:7" ht="90" customHeight="1" x14ac:dyDescent="0.2">
      <c r="A14" s="23"/>
      <c r="B14" s="229" t="s">
        <v>135</v>
      </c>
      <c r="C14" s="230"/>
      <c r="D14" s="230"/>
      <c r="E14" s="231"/>
      <c r="F14" s="232">
        <f>IFERROR(計算式あり!C21, "非該当")</f>
        <v>0</v>
      </c>
      <c r="G14" s="233"/>
    </row>
    <row r="15" spans="1:7" ht="28.5" customHeight="1" x14ac:dyDescent="0.2">
      <c r="A15" s="23"/>
      <c r="B15" s="226" t="s">
        <v>41</v>
      </c>
      <c r="C15" s="227"/>
      <c r="D15" s="227"/>
      <c r="E15" s="228"/>
      <c r="F15" s="31" t="str">
        <f>計算シート13!I12</f>
        <v>0</v>
      </c>
      <c r="G15" s="32" t="s">
        <v>0</v>
      </c>
    </row>
    <row r="16" spans="1:7" ht="20.100000000000001" customHeight="1" x14ac:dyDescent="0.2">
      <c r="A16" s="22"/>
      <c r="B16" s="22"/>
      <c r="C16" s="22"/>
      <c r="D16" s="22"/>
      <c r="E16" s="22"/>
      <c r="F16" s="22"/>
      <c r="G16" s="22"/>
    </row>
    <row r="17" spans="1:7" ht="20.100000000000001" customHeight="1" x14ac:dyDescent="0.2">
      <c r="A17" s="23" t="s">
        <v>42</v>
      </c>
      <c r="B17" s="22"/>
      <c r="C17" s="22"/>
      <c r="D17" s="22"/>
      <c r="E17" s="22"/>
      <c r="F17" s="22"/>
      <c r="G17" s="22"/>
    </row>
    <row r="18" spans="1:7" ht="10.5" customHeight="1" x14ac:dyDescent="0.2">
      <c r="A18" s="22"/>
      <c r="B18" s="22"/>
      <c r="C18" s="22"/>
      <c r="D18" s="22"/>
      <c r="E18" s="22"/>
      <c r="F18" s="22"/>
      <c r="G18" s="22"/>
    </row>
    <row r="19" spans="1:7" ht="28.5" customHeight="1" x14ac:dyDescent="0.2">
      <c r="A19" s="22"/>
      <c r="B19" s="24" t="s">
        <v>43</v>
      </c>
      <c r="C19" s="25"/>
      <c r="D19" s="25"/>
      <c r="E19" s="25"/>
      <c r="F19" s="33">
        <f>IF(計算シート13!C24&lt;=100000,計算シート13!C24,計算シート13!E24)</f>
        <v>0</v>
      </c>
      <c r="G19" s="27" t="s">
        <v>0</v>
      </c>
    </row>
    <row r="20" spans="1:7" ht="28.5" customHeight="1" thickBot="1" x14ac:dyDescent="0.25">
      <c r="A20" s="22"/>
      <c r="B20" s="24" t="s">
        <v>44</v>
      </c>
      <c r="C20" s="25"/>
      <c r="D20" s="25"/>
      <c r="E20" s="25"/>
      <c r="F20" s="33" t="e">
        <f>IF(計算シート23!C43&lt;=100000,計算シート23!C43,計算シート23!E43)</f>
        <v>#N/A</v>
      </c>
      <c r="G20" s="27" t="s">
        <v>0</v>
      </c>
    </row>
    <row r="21" spans="1:7" ht="28.5" customHeight="1" thickTop="1" x14ac:dyDescent="0.2">
      <c r="A21" s="22"/>
      <c r="B21" s="34" t="s">
        <v>45</v>
      </c>
      <c r="C21" s="35"/>
      <c r="D21" s="35"/>
      <c r="E21" s="35"/>
      <c r="F21" s="36" t="e">
        <f>IF(計算シート23!B49&gt;=0,計算シート23!B49,0)</f>
        <v>#N/A</v>
      </c>
      <c r="G21" s="37" t="s">
        <v>0</v>
      </c>
    </row>
    <row r="22" spans="1:7" x14ac:dyDescent="0.2">
      <c r="A22" s="22"/>
      <c r="B22" s="22"/>
      <c r="C22" s="22"/>
      <c r="D22" s="22"/>
      <c r="E22" s="22"/>
      <c r="F22" s="22"/>
      <c r="G22" s="22"/>
    </row>
    <row r="23" spans="1:7" ht="19.5" customHeight="1" x14ac:dyDescent="0.2">
      <c r="A23" s="23" t="s">
        <v>46</v>
      </c>
      <c r="B23" s="22"/>
      <c r="C23" s="22"/>
      <c r="D23" s="22"/>
      <c r="E23" s="22"/>
      <c r="F23" s="22"/>
      <c r="G23" s="22"/>
    </row>
    <row r="24" spans="1:7" ht="28.5" customHeight="1" x14ac:dyDescent="0.2">
      <c r="A24" s="22"/>
      <c r="B24" s="28" t="s">
        <v>47</v>
      </c>
      <c r="C24" s="29"/>
      <c r="D24" s="29"/>
      <c r="E24" s="32"/>
      <c r="F24" s="50" t="str">
        <f>IFERROR(計算シート13!C24-('加入者(3)'!F15+'加入者(3)'!F21), "0")</f>
        <v>0</v>
      </c>
      <c r="G24" s="32" t="s">
        <v>0</v>
      </c>
    </row>
    <row r="25" spans="1:7" ht="28.5" customHeight="1" thickBot="1" x14ac:dyDescent="0.25">
      <c r="A25" s="22"/>
      <c r="B25" s="38" t="s">
        <v>48</v>
      </c>
      <c r="C25" s="39"/>
      <c r="D25" s="39"/>
      <c r="E25" s="40"/>
      <c r="F25" s="49" t="str">
        <f>IFERROR(計算シート23!C43, "0")</f>
        <v>0</v>
      </c>
      <c r="G25" s="40" t="s">
        <v>0</v>
      </c>
    </row>
    <row r="26" spans="1:7" ht="28.5" customHeight="1" thickTop="1" x14ac:dyDescent="0.2">
      <c r="A26" s="22"/>
      <c r="B26" s="41" t="s">
        <v>49</v>
      </c>
      <c r="C26" s="42"/>
      <c r="D26" s="42"/>
      <c r="E26" s="43"/>
      <c r="F26" s="44">
        <f>F24+F25</f>
        <v>0</v>
      </c>
      <c r="G26" s="43" t="s">
        <v>0</v>
      </c>
    </row>
  </sheetData>
  <mergeCells count="7">
    <mergeCell ref="B15:E15"/>
    <mergeCell ref="E3:F3"/>
    <mergeCell ref="F8:G8"/>
    <mergeCell ref="B9:E9"/>
    <mergeCell ref="F9:G9"/>
    <mergeCell ref="B14:E14"/>
    <mergeCell ref="F14:G14"/>
  </mergeCells>
  <phoneticPr fontId="2"/>
  <pageMargins left="0.7" right="0.48" top="0.73" bottom="0.47"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計算式あり</vt:lpstr>
      <vt:lpstr>軽減判定</vt:lpstr>
      <vt:lpstr>加入者(1)</vt:lpstr>
      <vt:lpstr>計算シート１</vt:lpstr>
      <vt:lpstr>計算シート２</vt:lpstr>
      <vt:lpstr>加入者(2)</vt:lpstr>
      <vt:lpstr>計算シート12</vt:lpstr>
      <vt:lpstr>計算シート22</vt:lpstr>
      <vt:lpstr>加入者(3)</vt:lpstr>
      <vt:lpstr>計算シート13</vt:lpstr>
      <vt:lpstr>計算シート23</vt:lpstr>
      <vt:lpstr>加入者(4)</vt:lpstr>
      <vt:lpstr>計算シート14</vt:lpstr>
      <vt:lpstr>計算シート24</vt:lpstr>
      <vt:lpstr>加入者(5)</vt:lpstr>
      <vt:lpstr>計算シート15</vt:lpstr>
      <vt:lpstr>計算シート25</vt:lpstr>
      <vt:lpstr>加入者(6)</vt:lpstr>
      <vt:lpstr>計算シート16</vt:lpstr>
      <vt:lpstr>計算シート26</vt:lpstr>
      <vt:lpstr>加入者(7)</vt:lpstr>
      <vt:lpstr>計算シート17</vt:lpstr>
      <vt:lpstr>計算シート27</vt:lpstr>
      <vt:lpstr>計算シート１!Print_Area</vt:lpstr>
      <vt:lpstr>計算シート12!Print_Area</vt:lpstr>
      <vt:lpstr>計算シート13!Print_Area</vt:lpstr>
      <vt:lpstr>計算シート14!Print_Area</vt:lpstr>
      <vt:lpstr>計算シート15!Print_Area</vt:lpstr>
      <vt:lpstr>計算シート16!Print_Area</vt:lpstr>
      <vt:lpstr>計算シート17!Print_Area</vt:lpstr>
      <vt:lpstr>計算式あり!Print_Area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ageo</dc:creator>
  <cp:lastModifiedBy>34533細井のり子</cp:lastModifiedBy>
  <cp:lastPrinted>2025-12-03T05:09:52Z</cp:lastPrinted>
  <dcterms:created xsi:type="dcterms:W3CDTF">2014-03-14T06:13:04Z</dcterms:created>
  <dcterms:modified xsi:type="dcterms:W3CDTF">2026-03-18T09:09:12Z</dcterms:modified>
</cp:coreProperties>
</file>